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Bank data" sheetId="2" state="visible" r:id="rId2"/>
    <sheet xmlns:r="http://schemas.openxmlformats.org/officeDocument/2006/relationships" name="Abou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555555"/>
    </font>
    <font>
      <b val="1"/>
    </font>
    <font>
      <color rgb="000000FF"/>
    </font>
  </fonts>
  <fills count="5">
    <fill>
      <patternFill/>
    </fill>
    <fill>
      <patternFill patternType="gray125"/>
    </fill>
    <fill>
      <patternFill patternType="solid">
        <fgColor rgb="00E7E9FD"/>
      </patternFill>
    </fill>
    <fill>
      <patternFill patternType="solid">
        <fgColor rgb="00FFF2CC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164" fontId="4" fillId="3" borderId="0" pivotButton="0" quotePrefix="0" xfId="0"/>
    <xf numFmtId="3" fontId="4" fillId="3" borderId="0" pivotButton="0" quotePrefix="0" xfId="0"/>
    <xf numFmtId="9" fontId="4" fillId="3" borderId="0" pivotButton="0" quotePrefix="0" xfId="0"/>
    <xf numFmtId="0" fontId="3" fillId="4" borderId="0" applyAlignment="1" pivotButton="0" quotePrefix="0" xfId="0">
      <alignment vertical="bottom" wrapText="1"/>
    </xf>
    <xf numFmtId="164" fontId="0" fillId="0" borderId="0" pivotButton="0" quotePrefix="0" xfId="0"/>
    <xf numFmtId="10" fontId="0" fillId="0" borderId="0" pivotButton="0" quotePrefix="0" xfId="0"/>
    <xf numFmtId="3" fontId="0" fillId="0" borderId="0" pivotButton="0" quotePrefix="0" xfId="0"/>
    <xf numFmtId="0" fontId="3" fillId="0" borderId="0" pivotButton="0" quotePrefix="0" xfId="0"/>
    <xf numFmtId="164" fontId="3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62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44" customWidth="1" min="12" max="12"/>
  </cols>
  <sheetData>
    <row r="1">
      <c r="A1" s="1" t="inlineStr">
        <is>
          <t>Startup Banking Cost and Yield Calculator</t>
        </is>
      </c>
    </row>
    <row r="2">
      <c r="A2" s="2" t="inlineStr">
        <is>
          <t>How to use: change the blue cells (light yellow). Every other number is a live formula.</t>
        </is>
      </c>
    </row>
    <row r="4">
      <c r="A4" s="3" t="inlineStr">
        <is>
          <t>Your activity (defaults = seed-stage profile used on the site)</t>
        </is>
      </c>
      <c r="B4" s="4" t="n"/>
      <c r="C4" s="4" t="n"/>
    </row>
    <row r="5">
      <c r="A5" t="inlineStr">
        <is>
          <t>Cash balance</t>
        </is>
      </c>
      <c r="B5" s="5" t="n">
        <v>3000000</v>
      </c>
    </row>
    <row r="6">
      <c r="A6" t="inlineStr">
        <is>
          <t>Operating cash kept in checking</t>
        </is>
      </c>
      <c r="B6" s="5" t="n">
        <v>500000</v>
      </c>
    </row>
    <row r="7">
      <c r="A7" t="inlineStr">
        <is>
          <t>Domestic wires out per month</t>
        </is>
      </c>
      <c r="B7" s="6" t="n">
        <v>6</v>
      </c>
    </row>
    <row r="8">
      <c r="A8" t="inlineStr">
        <is>
          <t>Users on the account</t>
        </is>
      </c>
      <c r="B8" s="6" t="n">
        <v>10</v>
      </c>
    </row>
    <row r="9">
      <c r="A9" t="inlineStr">
        <is>
          <t>International payments per month</t>
        </is>
      </c>
      <c r="B9" s="6" t="n">
        <v>4</v>
      </c>
    </row>
    <row r="10">
      <c r="A10" t="inlineStr">
        <is>
          <t>Average international payment</t>
        </is>
      </c>
      <c r="B10" s="5" t="n">
        <v>6000</v>
      </c>
    </row>
    <row r="11">
      <c r="A11" t="inlineStr">
        <is>
          <t>Card spend per month</t>
        </is>
      </c>
      <c r="B11" s="5" t="n">
        <v>20000</v>
      </c>
    </row>
    <row r="12">
      <c r="A12" t="inlineStr">
        <is>
          <t>Share of card spend in foreign currency</t>
        </is>
      </c>
      <c r="B12" s="7" t="n">
        <v>0.1</v>
      </c>
    </row>
    <row r="14">
      <c r="A14" s="3" t="inlineStr">
        <is>
          <t>Annual cost by account</t>
        </is>
      </c>
      <c r="B14" s="4" t="n"/>
      <c r="C14" s="4" t="n"/>
    </row>
    <row r="15" ht="30" customHeight="1">
      <c r="A15" s="8" t="inlineStr">
        <is>
          <t>Account</t>
        </is>
      </c>
      <c r="B15" s="8" t="inlineStr">
        <is>
          <t>Fees per year</t>
        </is>
      </c>
      <c r="C15" s="8" t="inlineStr">
        <is>
          <t>Cashback per year</t>
        </is>
      </c>
      <c r="D15" s="8" t="inlineStr">
        <is>
          <t>Yield used</t>
        </is>
      </c>
      <c r="E15" s="8" t="inlineStr">
        <is>
          <t>Yield per year</t>
        </is>
      </c>
      <c r="F15" s="8" t="inlineStr">
        <is>
          <t>Net cost per year</t>
        </is>
      </c>
      <c r="G15" s="8" t="inlineStr">
        <is>
          <t>Missing fees</t>
        </is>
      </c>
      <c r="H15" s="8" t="inlineStr">
        <is>
          <t>Fees if complete</t>
        </is>
      </c>
      <c r="I15" s="8" t="inlineStr">
        <is>
          <t>Rank (net)</t>
        </is>
      </c>
      <c r="J15" s="8" t="inlineStr">
        <is>
          <t>Not published for your activity</t>
        </is>
      </c>
    </row>
    <row r="16">
      <c r="A16">
        <f>'Bank data'!$A$4</f>
        <v/>
      </c>
      <c r="B16" s="9">
        <f>IF(ISBLANK('Bank data'!$C$4),0,12*('Bank data'!$C$4+N('Bank data'!$D$4)*$B$8))+IF(OR(AND($B$7&gt;0,ISBLANK('Bank data'!$E$4)),AND($B$9&gt;0,ISBLANK('Bank data'!$F$4))),0,12*($B$7*IF($B$7&gt;0,N('Bank data'!$E$4),0)+$B$9*IF($B$9&gt;0,N('Bank data'!$F$4),0)))+IF(AND($B$9&gt;0,ISBLANK('Bank data'!$G$4)),0,IF($B$9&gt;0,12*$B$9*$B$10*N('Bank data'!$G$4),0))+IF(AND($B$11&gt;0,$B$12&gt;0,ISBLANK('Bank data'!$H$4)),0,IF(AND($B$11&gt;0,$B$12&gt;0),12*$B$11*$B$12*N('Bank data'!$H$4),0))</f>
        <v/>
      </c>
      <c r="C16" s="9">
        <f>IF(ISBLANK('Bank data'!$I$4),"n/p",12*$B$11*(1-MIN(1,$B$12))*'Bank data'!$I$4)</f>
        <v/>
      </c>
      <c r="D16" s="10">
        <f>IF(AND(NOT(ISBLANK('Bank data'!$U$4)),IF('Bank data'!$K$4="product",IF('Bank data'!$J$4="all",$B$5,MAX(0,$B$5-$B$6)),$B$5)&gt;='Bank data'!$U$4),'Bank data'!$V$4,IF(AND(NOT(ISBLANK('Bank data'!$S$4)),IF('Bank data'!$K$4="product",IF('Bank data'!$J$4="all",$B$5,MAX(0,$B$5-$B$6)),$B$5)&gt;='Bank data'!$S$4),'Bank data'!$T$4,IF(AND(NOT(ISBLANK('Bank data'!$Q$4)),IF('Bank data'!$K$4="product",IF('Bank data'!$J$4="all",$B$5,MAX(0,$B$5-$B$6)),$B$5)&gt;='Bank data'!$Q$4),'Bank data'!$R$4,IF(AND(NOT(ISBLANK('Bank data'!$O$4)),IF('Bank data'!$K$4="product",IF('Bank data'!$J$4="all",$B$5,MAX(0,$B$5-$B$6)),$B$5)&gt;='Bank data'!$O$4),'Bank data'!$P$4,IF(AND(NOT(ISBLANK('Bank data'!$M$4)),IF('Bank data'!$K$4="product",IF('Bank data'!$J$4="all",$B$5,MAX(0,$B$5-$B$6)),$B$5)&gt;='Bank data'!$M$4),'Bank data'!$N$4,0)))))</f>
        <v/>
      </c>
      <c r="E16" s="9">
        <f>MIN(IF('Bank data'!$J$4="all",$B$5,MAX(0,$B$5-$B$6)),IF(ISBLANK('Bank data'!$L$4),IF('Bank data'!$J$4="all",$B$5,MAX(0,$B$5-$B$6)),'Bank data'!$L$4))*D16</f>
        <v/>
      </c>
      <c r="F16" s="9">
        <f>B16-N(C16)-E16</f>
        <v/>
      </c>
      <c r="G16" s="11">
        <f>IF(ISBLANK('Bank data'!$C$4),1,0)+IF(AND($B$7&gt;0,ISBLANK('Bank data'!$E$4)),1,0)+IF(AND($B$9&gt;0,ISBLANK('Bank data'!$F$4)),1,0)+IF(AND($B$9&gt;0,ISBLANK('Bank data'!$G$4)),1,0)+IF(AND($B$11&gt;0,$B$12&gt;0,ISBLANK('Bank data'!$H$4)),1,0)+IF(AND($B$11&gt;0,ISBLANK('Bank data'!$I$4)),1,0)</f>
        <v/>
      </c>
      <c r="H16" s="9">
        <f>IF(G16=0,B16,"")</f>
        <v/>
      </c>
      <c r="I16" s="11">
        <f>IF(G16=0,COUNTIFS($G$16:$G$31,0,$F$16:$F$31,"&lt;"&amp;F16)+1,COUNTIF($G$16:$G$31,0)+COUNTIFS($G$16:$G$31,"&gt;0",$F$16:$F$31,"&lt;"&amp;F16)+1)</f>
        <v/>
      </c>
      <c r="J16">
        <f>MID(IF(ISBLANK('Bank data'!$C$4),", plan fee","")&amp;IF(AND($B$7&gt;0,ISBLANK('Bank data'!$E$4)),", domestic wires","")&amp;IF(AND($B$9&gt;0,ISBLANK('Bank data'!$F$4)),", international payments","")&amp;IF(AND($B$9&gt;0,ISBLANK('Bank data'!$G$4)),", FX on payments","")&amp;IF(AND($B$11&gt;0,$B$12&gt;0,ISBLANK('Bank data'!$H$4)),", card FX","")&amp;IF(AND($B$11&gt;0,ISBLANK('Bank data'!$I$4)),", cashback rate",""),3,200)</f>
        <v/>
      </c>
    </row>
    <row r="17">
      <c r="A17">
        <f>'Bank data'!$A$5</f>
        <v/>
      </c>
      <c r="B17" s="9">
        <f>IF(ISBLANK('Bank data'!$C$5),0,12*('Bank data'!$C$5+N('Bank data'!$D$5)*$B$8))+IF(OR(AND($B$7&gt;0,ISBLANK('Bank data'!$E$5)),AND($B$9&gt;0,ISBLANK('Bank data'!$F$5))),0,12*($B$7*IF($B$7&gt;0,N('Bank data'!$E$5),0)+$B$9*IF($B$9&gt;0,N('Bank data'!$F$5),0)))+IF(AND($B$9&gt;0,ISBLANK('Bank data'!$G$5)),0,IF($B$9&gt;0,12*$B$9*$B$10*N('Bank data'!$G$5),0))+IF(AND($B$11&gt;0,$B$12&gt;0,ISBLANK('Bank data'!$H$5)),0,IF(AND($B$11&gt;0,$B$12&gt;0),12*$B$11*$B$12*N('Bank data'!$H$5),0))</f>
        <v/>
      </c>
      <c r="C17" s="9">
        <f>IF(ISBLANK('Bank data'!$I$5),"n/p",12*$B$11*(1-MIN(1,$B$12))*'Bank data'!$I$5)</f>
        <v/>
      </c>
      <c r="D17" s="10">
        <f>IF(AND(NOT(ISBLANK('Bank data'!$U$5)),IF('Bank data'!$K$5="product",IF('Bank data'!$J$5="all",$B$5,MAX(0,$B$5-$B$6)),$B$5)&gt;='Bank data'!$U$5),'Bank data'!$V$5,IF(AND(NOT(ISBLANK('Bank data'!$S$5)),IF('Bank data'!$K$5="product",IF('Bank data'!$J$5="all",$B$5,MAX(0,$B$5-$B$6)),$B$5)&gt;='Bank data'!$S$5),'Bank data'!$T$5,IF(AND(NOT(ISBLANK('Bank data'!$Q$5)),IF('Bank data'!$K$5="product",IF('Bank data'!$J$5="all",$B$5,MAX(0,$B$5-$B$6)),$B$5)&gt;='Bank data'!$Q$5),'Bank data'!$R$5,IF(AND(NOT(ISBLANK('Bank data'!$O$5)),IF('Bank data'!$K$5="product",IF('Bank data'!$J$5="all",$B$5,MAX(0,$B$5-$B$6)),$B$5)&gt;='Bank data'!$O$5),'Bank data'!$P$5,IF(AND(NOT(ISBLANK('Bank data'!$M$5)),IF('Bank data'!$K$5="product",IF('Bank data'!$J$5="all",$B$5,MAX(0,$B$5-$B$6)),$B$5)&gt;='Bank data'!$M$5),'Bank data'!$N$5,0)))))</f>
        <v/>
      </c>
      <c r="E17" s="9">
        <f>MIN(IF('Bank data'!$J$5="all",$B$5,MAX(0,$B$5-$B$6)),IF(ISBLANK('Bank data'!$L$5),IF('Bank data'!$J$5="all",$B$5,MAX(0,$B$5-$B$6)),'Bank data'!$L$5))*D17</f>
        <v/>
      </c>
      <c r="F17" s="9">
        <f>B17-N(C17)-E17</f>
        <v/>
      </c>
      <c r="G17" s="11">
        <f>IF(ISBLANK('Bank data'!$C$5),1,0)+IF(AND($B$7&gt;0,ISBLANK('Bank data'!$E$5)),1,0)+IF(AND($B$9&gt;0,ISBLANK('Bank data'!$F$5)),1,0)+IF(AND($B$9&gt;0,ISBLANK('Bank data'!$G$5)),1,0)+IF(AND($B$11&gt;0,$B$12&gt;0,ISBLANK('Bank data'!$H$5)),1,0)+IF(AND($B$11&gt;0,ISBLANK('Bank data'!$I$5)),1,0)</f>
        <v/>
      </c>
      <c r="H17" s="9">
        <f>IF(G17=0,B17,"")</f>
        <v/>
      </c>
      <c r="I17" s="11">
        <f>IF(G17=0,COUNTIFS($G$16:$G$31,0,$F$16:$F$31,"&lt;"&amp;F17)+1,COUNTIF($G$16:$G$31,0)+COUNTIFS($G$16:$G$31,"&gt;0",$F$16:$F$31,"&lt;"&amp;F17)+1)</f>
        <v/>
      </c>
      <c r="J17">
        <f>MID(IF(ISBLANK('Bank data'!$C$5),", plan fee","")&amp;IF(AND($B$7&gt;0,ISBLANK('Bank data'!$E$5)),", domestic wires","")&amp;IF(AND($B$9&gt;0,ISBLANK('Bank data'!$F$5)),", international payments","")&amp;IF(AND($B$9&gt;0,ISBLANK('Bank data'!$G$5)),", FX on payments","")&amp;IF(AND($B$11&gt;0,$B$12&gt;0,ISBLANK('Bank data'!$H$5)),", card FX","")&amp;IF(AND($B$11&gt;0,ISBLANK('Bank data'!$I$5)),", cashback rate",""),3,200)</f>
        <v/>
      </c>
    </row>
    <row r="18">
      <c r="A18">
        <f>'Bank data'!$A$6</f>
        <v/>
      </c>
      <c r="B18" s="9">
        <f>IF(ISBLANK('Bank data'!$C$6),0,12*('Bank data'!$C$6+N('Bank data'!$D$6)*$B$8))+IF(OR(AND($B$7&gt;0,ISBLANK('Bank data'!$E$6)),AND($B$9&gt;0,ISBLANK('Bank data'!$F$6))),0,12*($B$7*IF($B$7&gt;0,N('Bank data'!$E$6),0)+$B$9*IF($B$9&gt;0,N('Bank data'!$F$6),0)))+IF(AND($B$9&gt;0,ISBLANK('Bank data'!$G$6)),0,IF($B$9&gt;0,12*$B$9*$B$10*N('Bank data'!$G$6),0))+IF(AND($B$11&gt;0,$B$12&gt;0,ISBLANK('Bank data'!$H$6)),0,IF(AND($B$11&gt;0,$B$12&gt;0),12*$B$11*$B$12*N('Bank data'!$H$6),0))</f>
        <v/>
      </c>
      <c r="C18" s="9">
        <f>IF(ISBLANK('Bank data'!$I$6),"n/p",12*$B$11*(1-MIN(1,$B$12))*'Bank data'!$I$6)</f>
        <v/>
      </c>
      <c r="D18" s="10">
        <f>IF(AND(NOT(ISBLANK('Bank data'!$U$6)),IF('Bank data'!$K$6="product",IF('Bank data'!$J$6="all",$B$5,MAX(0,$B$5-$B$6)),$B$5)&gt;='Bank data'!$U$6),'Bank data'!$V$6,IF(AND(NOT(ISBLANK('Bank data'!$S$6)),IF('Bank data'!$K$6="product",IF('Bank data'!$J$6="all",$B$5,MAX(0,$B$5-$B$6)),$B$5)&gt;='Bank data'!$S$6),'Bank data'!$T$6,IF(AND(NOT(ISBLANK('Bank data'!$Q$6)),IF('Bank data'!$K$6="product",IF('Bank data'!$J$6="all",$B$5,MAX(0,$B$5-$B$6)),$B$5)&gt;='Bank data'!$Q$6),'Bank data'!$R$6,IF(AND(NOT(ISBLANK('Bank data'!$O$6)),IF('Bank data'!$K$6="product",IF('Bank data'!$J$6="all",$B$5,MAX(0,$B$5-$B$6)),$B$5)&gt;='Bank data'!$O$6),'Bank data'!$P$6,IF(AND(NOT(ISBLANK('Bank data'!$M$6)),IF('Bank data'!$K$6="product",IF('Bank data'!$J$6="all",$B$5,MAX(0,$B$5-$B$6)),$B$5)&gt;='Bank data'!$M$6),'Bank data'!$N$6,0)))))</f>
        <v/>
      </c>
      <c r="E18" s="9">
        <f>MIN(IF('Bank data'!$J$6="all",$B$5,MAX(0,$B$5-$B$6)),IF(ISBLANK('Bank data'!$L$6),IF('Bank data'!$J$6="all",$B$5,MAX(0,$B$5-$B$6)),'Bank data'!$L$6))*D18</f>
        <v/>
      </c>
      <c r="F18" s="9">
        <f>B18-N(C18)-E18</f>
        <v/>
      </c>
      <c r="G18" s="11">
        <f>IF(ISBLANK('Bank data'!$C$6),1,0)+IF(AND($B$7&gt;0,ISBLANK('Bank data'!$E$6)),1,0)+IF(AND($B$9&gt;0,ISBLANK('Bank data'!$F$6)),1,0)+IF(AND($B$9&gt;0,ISBLANK('Bank data'!$G$6)),1,0)+IF(AND($B$11&gt;0,$B$12&gt;0,ISBLANK('Bank data'!$H$6)),1,0)+IF(AND($B$11&gt;0,ISBLANK('Bank data'!$I$6)),1,0)</f>
        <v/>
      </c>
      <c r="H18" s="9">
        <f>IF(G18=0,B18,"")</f>
        <v/>
      </c>
      <c r="I18" s="11">
        <f>IF(G18=0,COUNTIFS($G$16:$G$31,0,$F$16:$F$31,"&lt;"&amp;F18)+1,COUNTIF($G$16:$G$31,0)+COUNTIFS($G$16:$G$31,"&gt;0",$F$16:$F$31,"&lt;"&amp;F18)+1)</f>
        <v/>
      </c>
      <c r="J18">
        <f>MID(IF(ISBLANK('Bank data'!$C$6),", plan fee","")&amp;IF(AND($B$7&gt;0,ISBLANK('Bank data'!$E$6)),", domestic wires","")&amp;IF(AND($B$9&gt;0,ISBLANK('Bank data'!$F$6)),", international payments","")&amp;IF(AND($B$9&gt;0,ISBLANK('Bank data'!$G$6)),", FX on payments","")&amp;IF(AND($B$11&gt;0,$B$12&gt;0,ISBLANK('Bank data'!$H$6)),", card FX","")&amp;IF(AND($B$11&gt;0,ISBLANK('Bank data'!$I$6)),", cashback rate",""),3,200)</f>
        <v/>
      </c>
    </row>
    <row r="19">
      <c r="A19">
        <f>'Bank data'!$A$7</f>
        <v/>
      </c>
      <c r="B19" s="9">
        <f>IF(ISBLANK('Bank data'!$C$7),0,12*('Bank data'!$C$7+N('Bank data'!$D$7)*$B$8))+IF(OR(AND($B$7&gt;0,ISBLANK('Bank data'!$E$7)),AND($B$9&gt;0,ISBLANK('Bank data'!$F$7))),0,12*($B$7*IF($B$7&gt;0,N('Bank data'!$E$7),0)+$B$9*IF($B$9&gt;0,N('Bank data'!$F$7),0)))+IF(AND($B$9&gt;0,ISBLANK('Bank data'!$G$7)),0,IF($B$9&gt;0,12*$B$9*$B$10*N('Bank data'!$G$7),0))+IF(AND($B$11&gt;0,$B$12&gt;0,ISBLANK('Bank data'!$H$7)),0,IF(AND($B$11&gt;0,$B$12&gt;0),12*$B$11*$B$12*N('Bank data'!$H$7),0))</f>
        <v/>
      </c>
      <c r="C19" s="9">
        <f>IF(ISBLANK('Bank data'!$I$7),"n/p",12*$B$11*(1-MIN(1,$B$12))*'Bank data'!$I$7)</f>
        <v/>
      </c>
      <c r="D19" s="10">
        <f>IF(AND(NOT(ISBLANK('Bank data'!$U$7)),IF('Bank data'!$K$7="product",IF('Bank data'!$J$7="all",$B$5,MAX(0,$B$5-$B$6)),$B$5)&gt;='Bank data'!$U$7),'Bank data'!$V$7,IF(AND(NOT(ISBLANK('Bank data'!$S$7)),IF('Bank data'!$K$7="product",IF('Bank data'!$J$7="all",$B$5,MAX(0,$B$5-$B$6)),$B$5)&gt;='Bank data'!$S$7),'Bank data'!$T$7,IF(AND(NOT(ISBLANK('Bank data'!$Q$7)),IF('Bank data'!$K$7="product",IF('Bank data'!$J$7="all",$B$5,MAX(0,$B$5-$B$6)),$B$5)&gt;='Bank data'!$Q$7),'Bank data'!$R$7,IF(AND(NOT(ISBLANK('Bank data'!$O$7)),IF('Bank data'!$K$7="product",IF('Bank data'!$J$7="all",$B$5,MAX(0,$B$5-$B$6)),$B$5)&gt;='Bank data'!$O$7),'Bank data'!$P$7,IF(AND(NOT(ISBLANK('Bank data'!$M$7)),IF('Bank data'!$K$7="product",IF('Bank data'!$J$7="all",$B$5,MAX(0,$B$5-$B$6)),$B$5)&gt;='Bank data'!$M$7),'Bank data'!$N$7,0)))))</f>
        <v/>
      </c>
      <c r="E19" s="9">
        <f>MIN(IF('Bank data'!$J$7="all",$B$5,MAX(0,$B$5-$B$6)),IF(ISBLANK('Bank data'!$L$7),IF('Bank data'!$J$7="all",$B$5,MAX(0,$B$5-$B$6)),'Bank data'!$L$7))*D19</f>
        <v/>
      </c>
      <c r="F19" s="9">
        <f>B19-N(C19)-E19</f>
        <v/>
      </c>
      <c r="G19" s="11">
        <f>IF(ISBLANK('Bank data'!$C$7),1,0)+IF(AND($B$7&gt;0,ISBLANK('Bank data'!$E$7)),1,0)+IF(AND($B$9&gt;0,ISBLANK('Bank data'!$F$7)),1,0)+IF(AND($B$9&gt;0,ISBLANK('Bank data'!$G$7)),1,0)+IF(AND($B$11&gt;0,$B$12&gt;0,ISBLANK('Bank data'!$H$7)),1,0)+IF(AND($B$11&gt;0,ISBLANK('Bank data'!$I$7)),1,0)</f>
        <v/>
      </c>
      <c r="H19" s="9">
        <f>IF(G19=0,B19,"")</f>
        <v/>
      </c>
      <c r="I19" s="11">
        <f>IF(G19=0,COUNTIFS($G$16:$G$31,0,$F$16:$F$31,"&lt;"&amp;F19)+1,COUNTIF($G$16:$G$31,0)+COUNTIFS($G$16:$G$31,"&gt;0",$F$16:$F$31,"&lt;"&amp;F19)+1)</f>
        <v/>
      </c>
      <c r="J19">
        <f>MID(IF(ISBLANK('Bank data'!$C$7),", plan fee","")&amp;IF(AND($B$7&gt;0,ISBLANK('Bank data'!$E$7)),", domestic wires","")&amp;IF(AND($B$9&gt;0,ISBLANK('Bank data'!$F$7)),", international payments","")&amp;IF(AND($B$9&gt;0,ISBLANK('Bank data'!$G$7)),", FX on payments","")&amp;IF(AND($B$11&gt;0,$B$12&gt;0,ISBLANK('Bank data'!$H$7)),", card FX","")&amp;IF(AND($B$11&gt;0,ISBLANK('Bank data'!$I$7)),", cashback rate",""),3,200)</f>
        <v/>
      </c>
    </row>
    <row r="20">
      <c r="A20">
        <f>'Bank data'!$A$8</f>
        <v/>
      </c>
      <c r="B20" s="9">
        <f>IF(ISBLANK('Bank data'!$C$8),0,12*('Bank data'!$C$8+N('Bank data'!$D$8)*$B$8))+IF(OR(AND($B$7&gt;0,ISBLANK('Bank data'!$E$8)),AND($B$9&gt;0,ISBLANK('Bank data'!$F$8))),0,12*($B$7*IF($B$7&gt;0,N('Bank data'!$E$8),0)+$B$9*IF($B$9&gt;0,N('Bank data'!$F$8),0)))+IF(AND($B$9&gt;0,ISBLANK('Bank data'!$G$8)),0,IF($B$9&gt;0,12*$B$9*$B$10*N('Bank data'!$G$8),0))+IF(AND($B$11&gt;0,$B$12&gt;0,ISBLANK('Bank data'!$H$8)),0,IF(AND($B$11&gt;0,$B$12&gt;0),12*$B$11*$B$12*N('Bank data'!$H$8),0))</f>
        <v/>
      </c>
      <c r="C20" s="9">
        <f>IF(ISBLANK('Bank data'!$I$8),"n/p",12*$B$11*(1-MIN(1,$B$12))*'Bank data'!$I$8)</f>
        <v/>
      </c>
      <c r="D20" s="10">
        <f>IF(AND(NOT(ISBLANK('Bank data'!$U$8)),IF('Bank data'!$K$8="product",IF('Bank data'!$J$8="all",$B$5,MAX(0,$B$5-$B$6)),$B$5)&gt;='Bank data'!$U$8),'Bank data'!$V$8,IF(AND(NOT(ISBLANK('Bank data'!$S$8)),IF('Bank data'!$K$8="product",IF('Bank data'!$J$8="all",$B$5,MAX(0,$B$5-$B$6)),$B$5)&gt;='Bank data'!$S$8),'Bank data'!$T$8,IF(AND(NOT(ISBLANK('Bank data'!$Q$8)),IF('Bank data'!$K$8="product",IF('Bank data'!$J$8="all",$B$5,MAX(0,$B$5-$B$6)),$B$5)&gt;='Bank data'!$Q$8),'Bank data'!$R$8,IF(AND(NOT(ISBLANK('Bank data'!$O$8)),IF('Bank data'!$K$8="product",IF('Bank data'!$J$8="all",$B$5,MAX(0,$B$5-$B$6)),$B$5)&gt;='Bank data'!$O$8),'Bank data'!$P$8,IF(AND(NOT(ISBLANK('Bank data'!$M$8)),IF('Bank data'!$K$8="product",IF('Bank data'!$J$8="all",$B$5,MAX(0,$B$5-$B$6)),$B$5)&gt;='Bank data'!$M$8),'Bank data'!$N$8,0)))))</f>
        <v/>
      </c>
      <c r="E20" s="9">
        <f>MIN(IF('Bank data'!$J$8="all",$B$5,MAX(0,$B$5-$B$6)),IF(ISBLANK('Bank data'!$L$8),IF('Bank data'!$J$8="all",$B$5,MAX(0,$B$5-$B$6)),'Bank data'!$L$8))*D20</f>
        <v/>
      </c>
      <c r="F20" s="9">
        <f>B20-N(C20)-E20</f>
        <v/>
      </c>
      <c r="G20" s="11">
        <f>IF(ISBLANK('Bank data'!$C$8),1,0)+IF(AND($B$7&gt;0,ISBLANK('Bank data'!$E$8)),1,0)+IF(AND($B$9&gt;0,ISBLANK('Bank data'!$F$8)),1,0)+IF(AND($B$9&gt;0,ISBLANK('Bank data'!$G$8)),1,0)+IF(AND($B$11&gt;0,$B$12&gt;0,ISBLANK('Bank data'!$H$8)),1,0)+IF(AND($B$11&gt;0,ISBLANK('Bank data'!$I$8)),1,0)</f>
        <v/>
      </c>
      <c r="H20" s="9">
        <f>IF(G20=0,B20,"")</f>
        <v/>
      </c>
      <c r="I20" s="11">
        <f>IF(G20=0,COUNTIFS($G$16:$G$31,0,$F$16:$F$31,"&lt;"&amp;F20)+1,COUNTIF($G$16:$G$31,0)+COUNTIFS($G$16:$G$31,"&gt;0",$F$16:$F$31,"&lt;"&amp;F20)+1)</f>
        <v/>
      </c>
      <c r="J20">
        <f>MID(IF(ISBLANK('Bank data'!$C$8),", plan fee","")&amp;IF(AND($B$7&gt;0,ISBLANK('Bank data'!$E$8)),", domestic wires","")&amp;IF(AND($B$9&gt;0,ISBLANK('Bank data'!$F$8)),", international payments","")&amp;IF(AND($B$9&gt;0,ISBLANK('Bank data'!$G$8)),", FX on payments","")&amp;IF(AND($B$11&gt;0,$B$12&gt;0,ISBLANK('Bank data'!$H$8)),", card FX","")&amp;IF(AND($B$11&gt;0,ISBLANK('Bank data'!$I$8)),", cashback rate",""),3,200)</f>
        <v/>
      </c>
    </row>
    <row r="21">
      <c r="A21">
        <f>'Bank data'!$A$9</f>
        <v/>
      </c>
      <c r="B21" s="9">
        <f>IF(ISBLANK('Bank data'!$C$9),0,12*('Bank data'!$C$9+N('Bank data'!$D$9)*$B$8))+IF(OR(AND($B$7&gt;0,ISBLANK('Bank data'!$E$9)),AND($B$9&gt;0,ISBLANK('Bank data'!$F$9))),0,12*($B$7*IF($B$7&gt;0,N('Bank data'!$E$9),0)+$B$9*IF($B$9&gt;0,N('Bank data'!$F$9),0)))+IF(AND($B$9&gt;0,ISBLANK('Bank data'!$G$9)),0,IF($B$9&gt;0,12*$B$9*$B$10*N('Bank data'!$G$9),0))+IF(AND($B$11&gt;0,$B$12&gt;0,ISBLANK('Bank data'!$H$9)),0,IF(AND($B$11&gt;0,$B$12&gt;0),12*$B$11*$B$12*N('Bank data'!$H$9),0))</f>
        <v/>
      </c>
      <c r="C21" s="9">
        <f>IF(ISBLANK('Bank data'!$I$9),"n/p",12*$B$11*(1-MIN(1,$B$12))*'Bank data'!$I$9)</f>
        <v/>
      </c>
      <c r="D21" s="10">
        <f>IF(AND(NOT(ISBLANK('Bank data'!$U$9)),IF('Bank data'!$K$9="product",IF('Bank data'!$J$9="all",$B$5,MAX(0,$B$5-$B$6)),$B$5)&gt;='Bank data'!$U$9),'Bank data'!$V$9,IF(AND(NOT(ISBLANK('Bank data'!$S$9)),IF('Bank data'!$K$9="product",IF('Bank data'!$J$9="all",$B$5,MAX(0,$B$5-$B$6)),$B$5)&gt;='Bank data'!$S$9),'Bank data'!$T$9,IF(AND(NOT(ISBLANK('Bank data'!$Q$9)),IF('Bank data'!$K$9="product",IF('Bank data'!$J$9="all",$B$5,MAX(0,$B$5-$B$6)),$B$5)&gt;='Bank data'!$Q$9),'Bank data'!$R$9,IF(AND(NOT(ISBLANK('Bank data'!$O$9)),IF('Bank data'!$K$9="product",IF('Bank data'!$J$9="all",$B$5,MAX(0,$B$5-$B$6)),$B$5)&gt;='Bank data'!$O$9),'Bank data'!$P$9,IF(AND(NOT(ISBLANK('Bank data'!$M$9)),IF('Bank data'!$K$9="product",IF('Bank data'!$J$9="all",$B$5,MAX(0,$B$5-$B$6)),$B$5)&gt;='Bank data'!$M$9),'Bank data'!$N$9,0)))))</f>
        <v/>
      </c>
      <c r="E21" s="9">
        <f>MIN(IF('Bank data'!$J$9="all",$B$5,MAX(0,$B$5-$B$6)),IF(ISBLANK('Bank data'!$L$9),IF('Bank data'!$J$9="all",$B$5,MAX(0,$B$5-$B$6)),'Bank data'!$L$9))*D21</f>
        <v/>
      </c>
      <c r="F21" s="9">
        <f>B21-N(C21)-E21</f>
        <v/>
      </c>
      <c r="G21" s="11">
        <f>IF(ISBLANK('Bank data'!$C$9),1,0)+IF(AND($B$7&gt;0,ISBLANK('Bank data'!$E$9)),1,0)+IF(AND($B$9&gt;0,ISBLANK('Bank data'!$F$9)),1,0)+IF(AND($B$9&gt;0,ISBLANK('Bank data'!$G$9)),1,0)+IF(AND($B$11&gt;0,$B$12&gt;0,ISBLANK('Bank data'!$H$9)),1,0)+IF(AND($B$11&gt;0,ISBLANK('Bank data'!$I$9)),1,0)</f>
        <v/>
      </c>
      <c r="H21" s="9">
        <f>IF(G21=0,B21,"")</f>
        <v/>
      </c>
      <c r="I21" s="11">
        <f>IF(G21=0,COUNTIFS($G$16:$G$31,0,$F$16:$F$31,"&lt;"&amp;F21)+1,COUNTIF($G$16:$G$31,0)+COUNTIFS($G$16:$G$31,"&gt;0",$F$16:$F$31,"&lt;"&amp;F21)+1)</f>
        <v/>
      </c>
      <c r="J21">
        <f>MID(IF(ISBLANK('Bank data'!$C$9),", plan fee","")&amp;IF(AND($B$7&gt;0,ISBLANK('Bank data'!$E$9)),", domestic wires","")&amp;IF(AND($B$9&gt;0,ISBLANK('Bank data'!$F$9)),", international payments","")&amp;IF(AND($B$9&gt;0,ISBLANK('Bank data'!$G$9)),", FX on payments","")&amp;IF(AND($B$11&gt;0,$B$12&gt;0,ISBLANK('Bank data'!$H$9)),", card FX","")&amp;IF(AND($B$11&gt;0,ISBLANK('Bank data'!$I$9)),", cashback rate",""),3,200)</f>
        <v/>
      </c>
    </row>
    <row r="22">
      <c r="A22">
        <f>'Bank data'!$A$10</f>
        <v/>
      </c>
      <c r="B22" s="9">
        <f>IF(ISBLANK('Bank data'!$C$10),0,12*('Bank data'!$C$10+N('Bank data'!$D$10)*$B$8))+IF(OR(AND($B$7&gt;0,ISBLANK('Bank data'!$E$10)),AND($B$9&gt;0,ISBLANK('Bank data'!$F$10))),0,12*($B$7*IF($B$7&gt;0,N('Bank data'!$E$10),0)+$B$9*IF($B$9&gt;0,N('Bank data'!$F$10),0)))+IF(AND($B$9&gt;0,ISBLANK('Bank data'!$G$10)),0,IF($B$9&gt;0,12*$B$9*$B$10*N('Bank data'!$G$10),0))+IF(AND($B$11&gt;0,$B$12&gt;0,ISBLANK('Bank data'!$H$10)),0,IF(AND($B$11&gt;0,$B$12&gt;0),12*$B$11*$B$12*N('Bank data'!$H$10),0))</f>
        <v/>
      </c>
      <c r="C22" s="9">
        <f>IF(ISBLANK('Bank data'!$I$10),"n/p",12*$B$11*(1-MIN(1,$B$12))*'Bank data'!$I$10)</f>
        <v/>
      </c>
      <c r="D22" s="10">
        <f>IF(AND(NOT(ISBLANK('Bank data'!$U$10)),IF('Bank data'!$K$10="product",IF('Bank data'!$J$10="all",$B$5,MAX(0,$B$5-$B$6)),$B$5)&gt;='Bank data'!$U$10),'Bank data'!$V$10,IF(AND(NOT(ISBLANK('Bank data'!$S$10)),IF('Bank data'!$K$10="product",IF('Bank data'!$J$10="all",$B$5,MAX(0,$B$5-$B$6)),$B$5)&gt;='Bank data'!$S$10),'Bank data'!$T$10,IF(AND(NOT(ISBLANK('Bank data'!$Q$10)),IF('Bank data'!$K$10="product",IF('Bank data'!$J$10="all",$B$5,MAX(0,$B$5-$B$6)),$B$5)&gt;='Bank data'!$Q$10),'Bank data'!$R$10,IF(AND(NOT(ISBLANK('Bank data'!$O$10)),IF('Bank data'!$K$10="product",IF('Bank data'!$J$10="all",$B$5,MAX(0,$B$5-$B$6)),$B$5)&gt;='Bank data'!$O$10),'Bank data'!$P$10,IF(AND(NOT(ISBLANK('Bank data'!$M$10)),IF('Bank data'!$K$10="product",IF('Bank data'!$J$10="all",$B$5,MAX(0,$B$5-$B$6)),$B$5)&gt;='Bank data'!$M$10),'Bank data'!$N$10,0)))))</f>
        <v/>
      </c>
      <c r="E22" s="9">
        <f>MIN(IF('Bank data'!$J$10="all",$B$5,MAX(0,$B$5-$B$6)),IF(ISBLANK('Bank data'!$L$10),IF('Bank data'!$J$10="all",$B$5,MAX(0,$B$5-$B$6)),'Bank data'!$L$10))*D22</f>
        <v/>
      </c>
      <c r="F22" s="9">
        <f>B22-N(C22)-E22</f>
        <v/>
      </c>
      <c r="G22" s="11">
        <f>IF(ISBLANK('Bank data'!$C$10),1,0)+IF(AND($B$7&gt;0,ISBLANK('Bank data'!$E$10)),1,0)+IF(AND($B$9&gt;0,ISBLANK('Bank data'!$F$10)),1,0)+IF(AND($B$9&gt;0,ISBLANK('Bank data'!$G$10)),1,0)+IF(AND($B$11&gt;0,$B$12&gt;0,ISBLANK('Bank data'!$H$10)),1,0)+IF(AND($B$11&gt;0,ISBLANK('Bank data'!$I$10)),1,0)</f>
        <v/>
      </c>
      <c r="H22" s="9">
        <f>IF(G22=0,B22,"")</f>
        <v/>
      </c>
      <c r="I22" s="11">
        <f>IF(G22=0,COUNTIFS($G$16:$G$31,0,$F$16:$F$31,"&lt;"&amp;F22)+1,COUNTIF($G$16:$G$31,0)+COUNTIFS($G$16:$G$31,"&gt;0",$F$16:$F$31,"&lt;"&amp;F22)+1)</f>
        <v/>
      </c>
      <c r="J22">
        <f>MID(IF(ISBLANK('Bank data'!$C$10),", plan fee","")&amp;IF(AND($B$7&gt;0,ISBLANK('Bank data'!$E$10)),", domestic wires","")&amp;IF(AND($B$9&gt;0,ISBLANK('Bank data'!$F$10)),", international payments","")&amp;IF(AND($B$9&gt;0,ISBLANK('Bank data'!$G$10)),", FX on payments","")&amp;IF(AND($B$11&gt;0,$B$12&gt;0,ISBLANK('Bank data'!$H$10)),", card FX","")&amp;IF(AND($B$11&gt;0,ISBLANK('Bank data'!$I$10)),", cashback rate",""),3,200)</f>
        <v/>
      </c>
    </row>
    <row r="23">
      <c r="A23">
        <f>'Bank data'!$A$11</f>
        <v/>
      </c>
      <c r="B23" s="9">
        <f>IF(ISBLANK('Bank data'!$C$11),0,12*('Bank data'!$C$11+N('Bank data'!$D$11)*$B$8))+IF(OR(AND($B$7&gt;0,ISBLANK('Bank data'!$E$11)),AND($B$9&gt;0,ISBLANK('Bank data'!$F$11))),0,12*($B$7*IF($B$7&gt;0,N('Bank data'!$E$11),0)+$B$9*IF($B$9&gt;0,N('Bank data'!$F$11),0)))+IF(AND($B$9&gt;0,ISBLANK('Bank data'!$G$11)),0,IF($B$9&gt;0,12*$B$9*$B$10*N('Bank data'!$G$11),0))+IF(AND($B$11&gt;0,$B$12&gt;0,ISBLANK('Bank data'!$H$11)),0,IF(AND($B$11&gt;0,$B$12&gt;0),12*$B$11*$B$12*N('Bank data'!$H$11),0))</f>
        <v/>
      </c>
      <c r="C23" s="9">
        <f>IF(ISBLANK('Bank data'!$I$11),"n/p",12*$B$11*(1-MIN(1,$B$12))*'Bank data'!$I$11)</f>
        <v/>
      </c>
      <c r="D23" s="10">
        <f>IF(AND(NOT(ISBLANK('Bank data'!$U$11)),IF('Bank data'!$K$11="product",IF('Bank data'!$J$11="all",$B$5,MAX(0,$B$5-$B$6)),$B$5)&gt;='Bank data'!$U$11),'Bank data'!$V$11,IF(AND(NOT(ISBLANK('Bank data'!$S$11)),IF('Bank data'!$K$11="product",IF('Bank data'!$J$11="all",$B$5,MAX(0,$B$5-$B$6)),$B$5)&gt;='Bank data'!$S$11),'Bank data'!$T$11,IF(AND(NOT(ISBLANK('Bank data'!$Q$11)),IF('Bank data'!$K$11="product",IF('Bank data'!$J$11="all",$B$5,MAX(0,$B$5-$B$6)),$B$5)&gt;='Bank data'!$Q$11),'Bank data'!$R$11,IF(AND(NOT(ISBLANK('Bank data'!$O$11)),IF('Bank data'!$K$11="product",IF('Bank data'!$J$11="all",$B$5,MAX(0,$B$5-$B$6)),$B$5)&gt;='Bank data'!$O$11),'Bank data'!$P$11,IF(AND(NOT(ISBLANK('Bank data'!$M$11)),IF('Bank data'!$K$11="product",IF('Bank data'!$J$11="all",$B$5,MAX(0,$B$5-$B$6)),$B$5)&gt;='Bank data'!$M$11),'Bank data'!$N$11,0)))))</f>
        <v/>
      </c>
      <c r="E23" s="9">
        <f>MIN(IF('Bank data'!$J$11="all",$B$5,MAX(0,$B$5-$B$6)),IF(ISBLANK('Bank data'!$L$11),IF('Bank data'!$J$11="all",$B$5,MAX(0,$B$5-$B$6)),'Bank data'!$L$11))*D23</f>
        <v/>
      </c>
      <c r="F23" s="9">
        <f>B23-N(C23)-E23</f>
        <v/>
      </c>
      <c r="G23" s="11">
        <f>IF(ISBLANK('Bank data'!$C$11),1,0)+IF(AND($B$7&gt;0,ISBLANK('Bank data'!$E$11)),1,0)+IF(AND($B$9&gt;0,ISBLANK('Bank data'!$F$11)),1,0)+IF(AND($B$9&gt;0,ISBLANK('Bank data'!$G$11)),1,0)+IF(AND($B$11&gt;0,$B$12&gt;0,ISBLANK('Bank data'!$H$11)),1,0)+IF(AND($B$11&gt;0,ISBLANK('Bank data'!$I$11)),1,0)</f>
        <v/>
      </c>
      <c r="H23" s="9">
        <f>IF(G23=0,B23,"")</f>
        <v/>
      </c>
      <c r="I23" s="11">
        <f>IF(G23=0,COUNTIFS($G$16:$G$31,0,$F$16:$F$31,"&lt;"&amp;F23)+1,COUNTIF($G$16:$G$31,0)+COUNTIFS($G$16:$G$31,"&gt;0",$F$16:$F$31,"&lt;"&amp;F23)+1)</f>
        <v/>
      </c>
      <c r="J23">
        <f>MID(IF(ISBLANK('Bank data'!$C$11),", plan fee","")&amp;IF(AND($B$7&gt;0,ISBLANK('Bank data'!$E$11)),", domestic wires","")&amp;IF(AND($B$9&gt;0,ISBLANK('Bank data'!$F$11)),", international payments","")&amp;IF(AND($B$9&gt;0,ISBLANK('Bank data'!$G$11)),", FX on payments","")&amp;IF(AND($B$11&gt;0,$B$12&gt;0,ISBLANK('Bank data'!$H$11)),", card FX","")&amp;IF(AND($B$11&gt;0,ISBLANK('Bank data'!$I$11)),", cashback rate",""),3,200)</f>
        <v/>
      </c>
    </row>
    <row r="24">
      <c r="A24">
        <f>'Bank data'!$A$12</f>
        <v/>
      </c>
      <c r="B24" s="9">
        <f>IF(ISBLANK('Bank data'!$C$12),0,12*('Bank data'!$C$12+N('Bank data'!$D$12)*$B$8))+IF(OR(AND($B$7&gt;0,ISBLANK('Bank data'!$E$12)),AND($B$9&gt;0,ISBLANK('Bank data'!$F$12))),0,12*($B$7*IF($B$7&gt;0,N('Bank data'!$E$12),0)+$B$9*IF($B$9&gt;0,N('Bank data'!$F$12),0)))+IF(AND($B$9&gt;0,ISBLANK('Bank data'!$G$12)),0,IF($B$9&gt;0,12*$B$9*$B$10*N('Bank data'!$G$12),0))+IF(AND($B$11&gt;0,$B$12&gt;0,ISBLANK('Bank data'!$H$12)),0,IF(AND($B$11&gt;0,$B$12&gt;0),12*$B$11*$B$12*N('Bank data'!$H$12),0))</f>
        <v/>
      </c>
      <c r="C24" s="9">
        <f>IF(ISBLANK('Bank data'!$I$12),"n/p",12*$B$11*(1-MIN(1,$B$12))*'Bank data'!$I$12)</f>
        <v/>
      </c>
      <c r="D24" s="10">
        <f>IF(AND(NOT(ISBLANK('Bank data'!$U$12)),IF('Bank data'!$K$12="product",IF('Bank data'!$J$12="all",$B$5,MAX(0,$B$5-$B$6)),$B$5)&gt;='Bank data'!$U$12),'Bank data'!$V$12,IF(AND(NOT(ISBLANK('Bank data'!$S$12)),IF('Bank data'!$K$12="product",IF('Bank data'!$J$12="all",$B$5,MAX(0,$B$5-$B$6)),$B$5)&gt;='Bank data'!$S$12),'Bank data'!$T$12,IF(AND(NOT(ISBLANK('Bank data'!$Q$12)),IF('Bank data'!$K$12="product",IF('Bank data'!$J$12="all",$B$5,MAX(0,$B$5-$B$6)),$B$5)&gt;='Bank data'!$Q$12),'Bank data'!$R$12,IF(AND(NOT(ISBLANK('Bank data'!$O$12)),IF('Bank data'!$K$12="product",IF('Bank data'!$J$12="all",$B$5,MAX(0,$B$5-$B$6)),$B$5)&gt;='Bank data'!$O$12),'Bank data'!$P$12,IF(AND(NOT(ISBLANK('Bank data'!$M$12)),IF('Bank data'!$K$12="product",IF('Bank data'!$J$12="all",$B$5,MAX(0,$B$5-$B$6)),$B$5)&gt;='Bank data'!$M$12),'Bank data'!$N$12,0)))))</f>
        <v/>
      </c>
      <c r="E24" s="9">
        <f>MIN(IF('Bank data'!$J$12="all",$B$5,MAX(0,$B$5-$B$6)),IF(ISBLANK('Bank data'!$L$12),IF('Bank data'!$J$12="all",$B$5,MAX(0,$B$5-$B$6)),'Bank data'!$L$12))*D24</f>
        <v/>
      </c>
      <c r="F24" s="9">
        <f>B24-N(C24)-E24</f>
        <v/>
      </c>
      <c r="G24" s="11">
        <f>IF(ISBLANK('Bank data'!$C$12),1,0)+IF(AND($B$7&gt;0,ISBLANK('Bank data'!$E$12)),1,0)+IF(AND($B$9&gt;0,ISBLANK('Bank data'!$F$12)),1,0)+IF(AND($B$9&gt;0,ISBLANK('Bank data'!$G$12)),1,0)+IF(AND($B$11&gt;0,$B$12&gt;0,ISBLANK('Bank data'!$H$12)),1,0)+IF(AND($B$11&gt;0,ISBLANK('Bank data'!$I$12)),1,0)</f>
        <v/>
      </c>
      <c r="H24" s="9">
        <f>IF(G24=0,B24,"")</f>
        <v/>
      </c>
      <c r="I24" s="11">
        <f>IF(G24=0,COUNTIFS($G$16:$G$31,0,$F$16:$F$31,"&lt;"&amp;F24)+1,COUNTIF($G$16:$G$31,0)+COUNTIFS($G$16:$G$31,"&gt;0",$F$16:$F$31,"&lt;"&amp;F24)+1)</f>
        <v/>
      </c>
      <c r="J24">
        <f>MID(IF(ISBLANK('Bank data'!$C$12),", plan fee","")&amp;IF(AND($B$7&gt;0,ISBLANK('Bank data'!$E$12)),", domestic wires","")&amp;IF(AND($B$9&gt;0,ISBLANK('Bank data'!$F$12)),", international payments","")&amp;IF(AND($B$9&gt;0,ISBLANK('Bank data'!$G$12)),", FX on payments","")&amp;IF(AND($B$11&gt;0,$B$12&gt;0,ISBLANK('Bank data'!$H$12)),", card FX","")&amp;IF(AND($B$11&gt;0,ISBLANK('Bank data'!$I$12)),", cashback rate",""),3,200)</f>
        <v/>
      </c>
    </row>
    <row r="25">
      <c r="A25">
        <f>'Bank data'!$A$13</f>
        <v/>
      </c>
      <c r="B25" s="9">
        <f>IF(ISBLANK('Bank data'!$C$13),0,12*('Bank data'!$C$13+N('Bank data'!$D$13)*$B$8))+IF(OR(AND($B$7&gt;0,ISBLANK('Bank data'!$E$13)),AND($B$9&gt;0,ISBLANK('Bank data'!$F$13))),0,12*($B$7*IF($B$7&gt;0,N('Bank data'!$E$13),0)+$B$9*IF($B$9&gt;0,N('Bank data'!$F$13),0)))+IF(AND($B$9&gt;0,ISBLANK('Bank data'!$G$13)),0,IF($B$9&gt;0,12*$B$9*$B$10*N('Bank data'!$G$13),0))+IF(AND($B$11&gt;0,$B$12&gt;0,ISBLANK('Bank data'!$H$13)),0,IF(AND($B$11&gt;0,$B$12&gt;0),12*$B$11*$B$12*N('Bank data'!$H$13),0))</f>
        <v/>
      </c>
      <c r="C25" s="9">
        <f>IF(ISBLANK('Bank data'!$I$13),"n/p",12*$B$11*(1-MIN(1,$B$12))*'Bank data'!$I$13)</f>
        <v/>
      </c>
      <c r="D25" s="10">
        <f>IF(AND(NOT(ISBLANK('Bank data'!$U$13)),IF('Bank data'!$K$13="product",IF('Bank data'!$J$13="all",$B$5,MAX(0,$B$5-$B$6)),$B$5)&gt;='Bank data'!$U$13),'Bank data'!$V$13,IF(AND(NOT(ISBLANK('Bank data'!$S$13)),IF('Bank data'!$K$13="product",IF('Bank data'!$J$13="all",$B$5,MAX(0,$B$5-$B$6)),$B$5)&gt;='Bank data'!$S$13),'Bank data'!$T$13,IF(AND(NOT(ISBLANK('Bank data'!$Q$13)),IF('Bank data'!$K$13="product",IF('Bank data'!$J$13="all",$B$5,MAX(0,$B$5-$B$6)),$B$5)&gt;='Bank data'!$Q$13),'Bank data'!$R$13,IF(AND(NOT(ISBLANK('Bank data'!$O$13)),IF('Bank data'!$K$13="product",IF('Bank data'!$J$13="all",$B$5,MAX(0,$B$5-$B$6)),$B$5)&gt;='Bank data'!$O$13),'Bank data'!$P$13,IF(AND(NOT(ISBLANK('Bank data'!$M$13)),IF('Bank data'!$K$13="product",IF('Bank data'!$J$13="all",$B$5,MAX(0,$B$5-$B$6)),$B$5)&gt;='Bank data'!$M$13),'Bank data'!$N$13,0)))))</f>
        <v/>
      </c>
      <c r="E25" s="9">
        <f>MIN(IF('Bank data'!$J$13="all",$B$5,MAX(0,$B$5-$B$6)),IF(ISBLANK('Bank data'!$L$13),IF('Bank data'!$J$13="all",$B$5,MAX(0,$B$5-$B$6)),'Bank data'!$L$13))*D25</f>
        <v/>
      </c>
      <c r="F25" s="9">
        <f>B25-N(C25)-E25</f>
        <v/>
      </c>
      <c r="G25" s="11">
        <f>IF(ISBLANK('Bank data'!$C$13),1,0)+IF(AND($B$7&gt;0,ISBLANK('Bank data'!$E$13)),1,0)+IF(AND($B$9&gt;0,ISBLANK('Bank data'!$F$13)),1,0)+IF(AND($B$9&gt;0,ISBLANK('Bank data'!$G$13)),1,0)+IF(AND($B$11&gt;0,$B$12&gt;0,ISBLANK('Bank data'!$H$13)),1,0)+IF(AND($B$11&gt;0,ISBLANK('Bank data'!$I$13)),1,0)</f>
        <v/>
      </c>
      <c r="H25" s="9">
        <f>IF(G25=0,B25,"")</f>
        <v/>
      </c>
      <c r="I25" s="11">
        <f>IF(G25=0,COUNTIFS($G$16:$G$31,0,$F$16:$F$31,"&lt;"&amp;F25)+1,COUNTIF($G$16:$G$31,0)+COUNTIFS($G$16:$G$31,"&gt;0",$F$16:$F$31,"&lt;"&amp;F25)+1)</f>
        <v/>
      </c>
      <c r="J25">
        <f>MID(IF(ISBLANK('Bank data'!$C$13),", plan fee","")&amp;IF(AND($B$7&gt;0,ISBLANK('Bank data'!$E$13)),", domestic wires","")&amp;IF(AND($B$9&gt;0,ISBLANK('Bank data'!$F$13)),", international payments","")&amp;IF(AND($B$9&gt;0,ISBLANK('Bank data'!$G$13)),", FX on payments","")&amp;IF(AND($B$11&gt;0,$B$12&gt;0,ISBLANK('Bank data'!$H$13)),", card FX","")&amp;IF(AND($B$11&gt;0,ISBLANK('Bank data'!$I$13)),", cashback rate",""),3,200)</f>
        <v/>
      </c>
    </row>
    <row r="26">
      <c r="A26">
        <f>'Bank data'!$A$14</f>
        <v/>
      </c>
      <c r="B26" s="9">
        <f>IF(ISBLANK('Bank data'!$C$14),0,12*('Bank data'!$C$14+N('Bank data'!$D$14)*$B$8))+IF(OR(AND($B$7&gt;0,ISBLANK('Bank data'!$E$14)),AND($B$9&gt;0,ISBLANK('Bank data'!$F$14))),0,12*($B$7*IF($B$7&gt;0,N('Bank data'!$E$14),0)+$B$9*IF($B$9&gt;0,N('Bank data'!$F$14),0)))+IF(AND($B$9&gt;0,ISBLANK('Bank data'!$G$14)),0,IF($B$9&gt;0,12*$B$9*$B$10*N('Bank data'!$G$14),0))+IF(AND($B$11&gt;0,$B$12&gt;0,ISBLANK('Bank data'!$H$14)),0,IF(AND($B$11&gt;0,$B$12&gt;0),12*$B$11*$B$12*N('Bank data'!$H$14),0))</f>
        <v/>
      </c>
      <c r="C26" s="9">
        <f>IF(ISBLANK('Bank data'!$I$14),"n/p",12*$B$11*(1-MIN(1,$B$12))*'Bank data'!$I$14)</f>
        <v/>
      </c>
      <c r="D26" s="10">
        <f>IF(AND(NOT(ISBLANK('Bank data'!$U$14)),IF('Bank data'!$K$14="product",IF('Bank data'!$J$14="all",$B$5,MAX(0,$B$5-$B$6)),$B$5)&gt;='Bank data'!$U$14),'Bank data'!$V$14,IF(AND(NOT(ISBLANK('Bank data'!$S$14)),IF('Bank data'!$K$14="product",IF('Bank data'!$J$14="all",$B$5,MAX(0,$B$5-$B$6)),$B$5)&gt;='Bank data'!$S$14),'Bank data'!$T$14,IF(AND(NOT(ISBLANK('Bank data'!$Q$14)),IF('Bank data'!$K$14="product",IF('Bank data'!$J$14="all",$B$5,MAX(0,$B$5-$B$6)),$B$5)&gt;='Bank data'!$Q$14),'Bank data'!$R$14,IF(AND(NOT(ISBLANK('Bank data'!$O$14)),IF('Bank data'!$K$14="product",IF('Bank data'!$J$14="all",$B$5,MAX(0,$B$5-$B$6)),$B$5)&gt;='Bank data'!$O$14),'Bank data'!$P$14,IF(AND(NOT(ISBLANK('Bank data'!$M$14)),IF('Bank data'!$K$14="product",IF('Bank data'!$J$14="all",$B$5,MAX(0,$B$5-$B$6)),$B$5)&gt;='Bank data'!$M$14),'Bank data'!$N$14,0)))))</f>
        <v/>
      </c>
      <c r="E26" s="9">
        <f>MIN(IF('Bank data'!$J$14="all",$B$5,MAX(0,$B$5-$B$6)),IF(ISBLANK('Bank data'!$L$14),IF('Bank data'!$J$14="all",$B$5,MAX(0,$B$5-$B$6)),'Bank data'!$L$14))*D26</f>
        <v/>
      </c>
      <c r="F26" s="9">
        <f>B26-N(C26)-E26</f>
        <v/>
      </c>
      <c r="G26" s="11">
        <f>IF(ISBLANK('Bank data'!$C$14),1,0)+IF(AND($B$7&gt;0,ISBLANK('Bank data'!$E$14)),1,0)+IF(AND($B$9&gt;0,ISBLANK('Bank data'!$F$14)),1,0)+IF(AND($B$9&gt;0,ISBLANK('Bank data'!$G$14)),1,0)+IF(AND($B$11&gt;0,$B$12&gt;0,ISBLANK('Bank data'!$H$14)),1,0)+IF(AND($B$11&gt;0,ISBLANK('Bank data'!$I$14)),1,0)</f>
        <v/>
      </c>
      <c r="H26" s="9">
        <f>IF(G26=0,B26,"")</f>
        <v/>
      </c>
      <c r="I26" s="11">
        <f>IF(G26=0,COUNTIFS($G$16:$G$31,0,$F$16:$F$31,"&lt;"&amp;F26)+1,COUNTIF($G$16:$G$31,0)+COUNTIFS($G$16:$G$31,"&gt;0",$F$16:$F$31,"&lt;"&amp;F26)+1)</f>
        <v/>
      </c>
      <c r="J26">
        <f>MID(IF(ISBLANK('Bank data'!$C$14),", plan fee","")&amp;IF(AND($B$7&gt;0,ISBLANK('Bank data'!$E$14)),", domestic wires","")&amp;IF(AND($B$9&gt;0,ISBLANK('Bank data'!$F$14)),", international payments","")&amp;IF(AND($B$9&gt;0,ISBLANK('Bank data'!$G$14)),", FX on payments","")&amp;IF(AND($B$11&gt;0,$B$12&gt;0,ISBLANK('Bank data'!$H$14)),", card FX","")&amp;IF(AND($B$11&gt;0,ISBLANK('Bank data'!$I$14)),", cashback rate",""),3,200)</f>
        <v/>
      </c>
    </row>
    <row r="27">
      <c r="A27">
        <f>'Bank data'!$A$15</f>
        <v/>
      </c>
      <c r="B27" s="9">
        <f>IF(ISBLANK('Bank data'!$C$15),0,12*('Bank data'!$C$15+N('Bank data'!$D$15)*$B$8))+IF(OR(AND($B$7&gt;0,ISBLANK('Bank data'!$E$15)),AND($B$9&gt;0,ISBLANK('Bank data'!$F$15))),0,12*($B$7*IF($B$7&gt;0,N('Bank data'!$E$15),0)+$B$9*IF($B$9&gt;0,N('Bank data'!$F$15),0)))+IF(AND($B$9&gt;0,ISBLANK('Bank data'!$G$15)),0,IF($B$9&gt;0,12*$B$9*$B$10*N('Bank data'!$G$15),0))+IF(AND($B$11&gt;0,$B$12&gt;0,ISBLANK('Bank data'!$H$15)),0,IF(AND($B$11&gt;0,$B$12&gt;0),12*$B$11*$B$12*N('Bank data'!$H$15),0))</f>
        <v/>
      </c>
      <c r="C27" s="9">
        <f>IF(ISBLANK('Bank data'!$I$15),"n/p",12*$B$11*(1-MIN(1,$B$12))*'Bank data'!$I$15)</f>
        <v/>
      </c>
      <c r="D27" s="10">
        <f>IF(AND(NOT(ISBLANK('Bank data'!$U$15)),IF('Bank data'!$K$15="product",IF('Bank data'!$J$15="all",$B$5,MAX(0,$B$5-$B$6)),$B$5)&gt;='Bank data'!$U$15),'Bank data'!$V$15,IF(AND(NOT(ISBLANK('Bank data'!$S$15)),IF('Bank data'!$K$15="product",IF('Bank data'!$J$15="all",$B$5,MAX(0,$B$5-$B$6)),$B$5)&gt;='Bank data'!$S$15),'Bank data'!$T$15,IF(AND(NOT(ISBLANK('Bank data'!$Q$15)),IF('Bank data'!$K$15="product",IF('Bank data'!$J$15="all",$B$5,MAX(0,$B$5-$B$6)),$B$5)&gt;='Bank data'!$Q$15),'Bank data'!$R$15,IF(AND(NOT(ISBLANK('Bank data'!$O$15)),IF('Bank data'!$K$15="product",IF('Bank data'!$J$15="all",$B$5,MAX(0,$B$5-$B$6)),$B$5)&gt;='Bank data'!$O$15),'Bank data'!$P$15,IF(AND(NOT(ISBLANK('Bank data'!$M$15)),IF('Bank data'!$K$15="product",IF('Bank data'!$J$15="all",$B$5,MAX(0,$B$5-$B$6)),$B$5)&gt;='Bank data'!$M$15),'Bank data'!$N$15,0)))))</f>
        <v/>
      </c>
      <c r="E27" s="9">
        <f>MIN(IF('Bank data'!$J$15="all",$B$5,MAX(0,$B$5-$B$6)),IF(ISBLANK('Bank data'!$L$15),IF('Bank data'!$J$15="all",$B$5,MAX(0,$B$5-$B$6)),'Bank data'!$L$15))*D27</f>
        <v/>
      </c>
      <c r="F27" s="9">
        <f>B27-N(C27)-E27</f>
        <v/>
      </c>
      <c r="G27" s="11">
        <f>IF(ISBLANK('Bank data'!$C$15),1,0)+IF(AND($B$7&gt;0,ISBLANK('Bank data'!$E$15)),1,0)+IF(AND($B$9&gt;0,ISBLANK('Bank data'!$F$15)),1,0)+IF(AND($B$9&gt;0,ISBLANK('Bank data'!$G$15)),1,0)+IF(AND($B$11&gt;0,$B$12&gt;0,ISBLANK('Bank data'!$H$15)),1,0)+IF(AND($B$11&gt;0,ISBLANK('Bank data'!$I$15)),1,0)</f>
        <v/>
      </c>
      <c r="H27" s="9">
        <f>IF(G27=0,B27,"")</f>
        <v/>
      </c>
      <c r="I27" s="11">
        <f>IF(G27=0,COUNTIFS($G$16:$G$31,0,$F$16:$F$31,"&lt;"&amp;F27)+1,COUNTIF($G$16:$G$31,0)+COUNTIFS($G$16:$G$31,"&gt;0",$F$16:$F$31,"&lt;"&amp;F27)+1)</f>
        <v/>
      </c>
      <c r="J27">
        <f>MID(IF(ISBLANK('Bank data'!$C$15),", plan fee","")&amp;IF(AND($B$7&gt;0,ISBLANK('Bank data'!$E$15)),", domestic wires","")&amp;IF(AND($B$9&gt;0,ISBLANK('Bank data'!$F$15)),", international payments","")&amp;IF(AND($B$9&gt;0,ISBLANK('Bank data'!$G$15)),", FX on payments","")&amp;IF(AND($B$11&gt;0,$B$12&gt;0,ISBLANK('Bank data'!$H$15)),", card FX","")&amp;IF(AND($B$11&gt;0,ISBLANK('Bank data'!$I$15)),", cashback rate",""),3,200)</f>
        <v/>
      </c>
    </row>
    <row r="28">
      <c r="A28">
        <f>'Bank data'!$A$16</f>
        <v/>
      </c>
      <c r="B28" s="9">
        <f>IF(ISBLANK('Bank data'!$C$16),0,12*('Bank data'!$C$16+N('Bank data'!$D$16)*$B$8))+IF(OR(AND($B$7&gt;0,ISBLANK('Bank data'!$E$16)),AND($B$9&gt;0,ISBLANK('Bank data'!$F$16))),0,12*($B$7*IF($B$7&gt;0,N('Bank data'!$E$16),0)+$B$9*IF($B$9&gt;0,N('Bank data'!$F$16),0)))+IF(AND($B$9&gt;0,ISBLANK('Bank data'!$G$16)),0,IF($B$9&gt;0,12*$B$9*$B$10*N('Bank data'!$G$16),0))+IF(AND($B$11&gt;0,$B$12&gt;0,ISBLANK('Bank data'!$H$16)),0,IF(AND($B$11&gt;0,$B$12&gt;0),12*$B$11*$B$12*N('Bank data'!$H$16),0))</f>
        <v/>
      </c>
      <c r="C28" s="9">
        <f>IF(ISBLANK('Bank data'!$I$16),"n/p",12*$B$11*(1-MIN(1,$B$12))*'Bank data'!$I$16)</f>
        <v/>
      </c>
      <c r="D28" s="10">
        <f>IF(AND(NOT(ISBLANK('Bank data'!$U$16)),IF('Bank data'!$K$16="product",IF('Bank data'!$J$16="all",$B$5,MAX(0,$B$5-$B$6)),$B$5)&gt;='Bank data'!$U$16),'Bank data'!$V$16,IF(AND(NOT(ISBLANK('Bank data'!$S$16)),IF('Bank data'!$K$16="product",IF('Bank data'!$J$16="all",$B$5,MAX(0,$B$5-$B$6)),$B$5)&gt;='Bank data'!$S$16),'Bank data'!$T$16,IF(AND(NOT(ISBLANK('Bank data'!$Q$16)),IF('Bank data'!$K$16="product",IF('Bank data'!$J$16="all",$B$5,MAX(0,$B$5-$B$6)),$B$5)&gt;='Bank data'!$Q$16),'Bank data'!$R$16,IF(AND(NOT(ISBLANK('Bank data'!$O$16)),IF('Bank data'!$K$16="product",IF('Bank data'!$J$16="all",$B$5,MAX(0,$B$5-$B$6)),$B$5)&gt;='Bank data'!$O$16),'Bank data'!$P$16,IF(AND(NOT(ISBLANK('Bank data'!$M$16)),IF('Bank data'!$K$16="product",IF('Bank data'!$J$16="all",$B$5,MAX(0,$B$5-$B$6)),$B$5)&gt;='Bank data'!$M$16),'Bank data'!$N$16,0)))))</f>
        <v/>
      </c>
      <c r="E28" s="9">
        <f>MIN(IF('Bank data'!$J$16="all",$B$5,MAX(0,$B$5-$B$6)),IF(ISBLANK('Bank data'!$L$16),IF('Bank data'!$J$16="all",$B$5,MAX(0,$B$5-$B$6)),'Bank data'!$L$16))*D28</f>
        <v/>
      </c>
      <c r="F28" s="9">
        <f>B28-N(C28)-E28</f>
        <v/>
      </c>
      <c r="G28" s="11">
        <f>IF(ISBLANK('Bank data'!$C$16),1,0)+IF(AND($B$7&gt;0,ISBLANK('Bank data'!$E$16)),1,0)+IF(AND($B$9&gt;0,ISBLANK('Bank data'!$F$16)),1,0)+IF(AND($B$9&gt;0,ISBLANK('Bank data'!$G$16)),1,0)+IF(AND($B$11&gt;0,$B$12&gt;0,ISBLANK('Bank data'!$H$16)),1,0)+IF(AND($B$11&gt;0,ISBLANK('Bank data'!$I$16)),1,0)</f>
        <v/>
      </c>
      <c r="H28" s="9">
        <f>IF(G28=0,B28,"")</f>
        <v/>
      </c>
      <c r="I28" s="11">
        <f>IF(G28=0,COUNTIFS($G$16:$G$31,0,$F$16:$F$31,"&lt;"&amp;F28)+1,COUNTIF($G$16:$G$31,0)+COUNTIFS($G$16:$G$31,"&gt;0",$F$16:$F$31,"&lt;"&amp;F28)+1)</f>
        <v/>
      </c>
      <c r="J28">
        <f>MID(IF(ISBLANK('Bank data'!$C$16),", plan fee","")&amp;IF(AND($B$7&gt;0,ISBLANK('Bank data'!$E$16)),", domestic wires","")&amp;IF(AND($B$9&gt;0,ISBLANK('Bank data'!$F$16)),", international payments","")&amp;IF(AND($B$9&gt;0,ISBLANK('Bank data'!$G$16)),", FX on payments","")&amp;IF(AND($B$11&gt;0,$B$12&gt;0,ISBLANK('Bank data'!$H$16)),", card FX","")&amp;IF(AND($B$11&gt;0,ISBLANK('Bank data'!$I$16)),", cashback rate",""),3,200)</f>
        <v/>
      </c>
    </row>
    <row r="29">
      <c r="A29">
        <f>'Bank data'!$A$17</f>
        <v/>
      </c>
      <c r="B29" s="9">
        <f>IF(ISBLANK('Bank data'!$C$17),0,12*('Bank data'!$C$17+N('Bank data'!$D$17)*$B$8))+IF(OR(AND($B$7&gt;0,ISBLANK('Bank data'!$E$17)),AND($B$9&gt;0,ISBLANK('Bank data'!$F$17))),0,12*($B$7*IF($B$7&gt;0,N('Bank data'!$E$17),0)+$B$9*IF($B$9&gt;0,N('Bank data'!$F$17),0)))+IF(AND($B$9&gt;0,ISBLANK('Bank data'!$G$17)),0,IF($B$9&gt;0,12*$B$9*$B$10*N('Bank data'!$G$17),0))+IF(AND($B$11&gt;0,$B$12&gt;0,ISBLANK('Bank data'!$H$17)),0,IF(AND($B$11&gt;0,$B$12&gt;0),12*$B$11*$B$12*N('Bank data'!$H$17),0))</f>
        <v/>
      </c>
      <c r="C29" s="9">
        <f>IF(ISBLANK('Bank data'!$I$17),"n/p",12*$B$11*(1-MIN(1,$B$12))*'Bank data'!$I$17)</f>
        <v/>
      </c>
      <c r="D29" s="10">
        <f>IF(AND(NOT(ISBLANK('Bank data'!$U$17)),IF('Bank data'!$K$17="product",IF('Bank data'!$J$17="all",$B$5,MAX(0,$B$5-$B$6)),$B$5)&gt;='Bank data'!$U$17),'Bank data'!$V$17,IF(AND(NOT(ISBLANK('Bank data'!$S$17)),IF('Bank data'!$K$17="product",IF('Bank data'!$J$17="all",$B$5,MAX(0,$B$5-$B$6)),$B$5)&gt;='Bank data'!$S$17),'Bank data'!$T$17,IF(AND(NOT(ISBLANK('Bank data'!$Q$17)),IF('Bank data'!$K$17="product",IF('Bank data'!$J$17="all",$B$5,MAX(0,$B$5-$B$6)),$B$5)&gt;='Bank data'!$Q$17),'Bank data'!$R$17,IF(AND(NOT(ISBLANK('Bank data'!$O$17)),IF('Bank data'!$K$17="product",IF('Bank data'!$J$17="all",$B$5,MAX(0,$B$5-$B$6)),$B$5)&gt;='Bank data'!$O$17),'Bank data'!$P$17,IF(AND(NOT(ISBLANK('Bank data'!$M$17)),IF('Bank data'!$K$17="product",IF('Bank data'!$J$17="all",$B$5,MAX(0,$B$5-$B$6)),$B$5)&gt;='Bank data'!$M$17),'Bank data'!$N$17,0)))))</f>
        <v/>
      </c>
      <c r="E29" s="9">
        <f>MIN(IF('Bank data'!$J$17="all",$B$5,MAX(0,$B$5-$B$6)),IF(ISBLANK('Bank data'!$L$17),IF('Bank data'!$J$17="all",$B$5,MAX(0,$B$5-$B$6)),'Bank data'!$L$17))*D29</f>
        <v/>
      </c>
      <c r="F29" s="9">
        <f>B29-N(C29)-E29</f>
        <v/>
      </c>
      <c r="G29" s="11">
        <f>IF(ISBLANK('Bank data'!$C$17),1,0)+IF(AND($B$7&gt;0,ISBLANK('Bank data'!$E$17)),1,0)+IF(AND($B$9&gt;0,ISBLANK('Bank data'!$F$17)),1,0)+IF(AND($B$9&gt;0,ISBLANK('Bank data'!$G$17)),1,0)+IF(AND($B$11&gt;0,$B$12&gt;0,ISBLANK('Bank data'!$H$17)),1,0)+IF(AND($B$11&gt;0,ISBLANK('Bank data'!$I$17)),1,0)</f>
        <v/>
      </c>
      <c r="H29" s="9">
        <f>IF(G29=0,B29,"")</f>
        <v/>
      </c>
      <c r="I29" s="11">
        <f>IF(G29=0,COUNTIFS($G$16:$G$31,0,$F$16:$F$31,"&lt;"&amp;F29)+1,COUNTIF($G$16:$G$31,0)+COUNTIFS($G$16:$G$31,"&gt;0",$F$16:$F$31,"&lt;"&amp;F29)+1)</f>
        <v/>
      </c>
      <c r="J29">
        <f>MID(IF(ISBLANK('Bank data'!$C$17),", plan fee","")&amp;IF(AND($B$7&gt;0,ISBLANK('Bank data'!$E$17)),", domestic wires","")&amp;IF(AND($B$9&gt;0,ISBLANK('Bank data'!$F$17)),", international payments","")&amp;IF(AND($B$9&gt;0,ISBLANK('Bank data'!$G$17)),", FX on payments","")&amp;IF(AND($B$11&gt;0,$B$12&gt;0,ISBLANK('Bank data'!$H$17)),", card FX","")&amp;IF(AND($B$11&gt;0,ISBLANK('Bank data'!$I$17)),", cashback rate",""),3,200)</f>
        <v/>
      </c>
    </row>
    <row r="30">
      <c r="A30">
        <f>'Bank data'!$A$18</f>
        <v/>
      </c>
      <c r="B30" s="9">
        <f>IF(ISBLANK('Bank data'!$C$18),0,12*('Bank data'!$C$18+N('Bank data'!$D$18)*$B$8))+IF(OR(AND($B$7&gt;0,ISBLANK('Bank data'!$E$18)),AND($B$9&gt;0,ISBLANK('Bank data'!$F$18))),0,12*($B$7*IF($B$7&gt;0,N('Bank data'!$E$18),0)+$B$9*IF($B$9&gt;0,N('Bank data'!$F$18),0)))+IF(AND($B$9&gt;0,ISBLANK('Bank data'!$G$18)),0,IF($B$9&gt;0,12*$B$9*$B$10*N('Bank data'!$G$18),0))+IF(AND($B$11&gt;0,$B$12&gt;0,ISBLANK('Bank data'!$H$18)),0,IF(AND($B$11&gt;0,$B$12&gt;0),12*$B$11*$B$12*N('Bank data'!$H$18),0))</f>
        <v/>
      </c>
      <c r="C30" s="9">
        <f>IF(ISBLANK('Bank data'!$I$18),"n/p",12*$B$11*(1-MIN(1,$B$12))*'Bank data'!$I$18)</f>
        <v/>
      </c>
      <c r="D30" s="10">
        <f>IF(AND(NOT(ISBLANK('Bank data'!$U$18)),IF('Bank data'!$K$18="product",IF('Bank data'!$J$18="all",$B$5,MAX(0,$B$5-$B$6)),$B$5)&gt;='Bank data'!$U$18),'Bank data'!$V$18,IF(AND(NOT(ISBLANK('Bank data'!$S$18)),IF('Bank data'!$K$18="product",IF('Bank data'!$J$18="all",$B$5,MAX(0,$B$5-$B$6)),$B$5)&gt;='Bank data'!$S$18),'Bank data'!$T$18,IF(AND(NOT(ISBLANK('Bank data'!$Q$18)),IF('Bank data'!$K$18="product",IF('Bank data'!$J$18="all",$B$5,MAX(0,$B$5-$B$6)),$B$5)&gt;='Bank data'!$Q$18),'Bank data'!$R$18,IF(AND(NOT(ISBLANK('Bank data'!$O$18)),IF('Bank data'!$K$18="product",IF('Bank data'!$J$18="all",$B$5,MAX(0,$B$5-$B$6)),$B$5)&gt;='Bank data'!$O$18),'Bank data'!$P$18,IF(AND(NOT(ISBLANK('Bank data'!$M$18)),IF('Bank data'!$K$18="product",IF('Bank data'!$J$18="all",$B$5,MAX(0,$B$5-$B$6)),$B$5)&gt;='Bank data'!$M$18),'Bank data'!$N$18,0)))))</f>
        <v/>
      </c>
      <c r="E30" s="9">
        <f>MIN(IF('Bank data'!$J$18="all",$B$5,MAX(0,$B$5-$B$6)),IF(ISBLANK('Bank data'!$L$18),IF('Bank data'!$J$18="all",$B$5,MAX(0,$B$5-$B$6)),'Bank data'!$L$18))*D30</f>
        <v/>
      </c>
      <c r="F30" s="9">
        <f>B30-N(C30)-E30</f>
        <v/>
      </c>
      <c r="G30" s="11">
        <f>IF(ISBLANK('Bank data'!$C$18),1,0)+IF(AND($B$7&gt;0,ISBLANK('Bank data'!$E$18)),1,0)+IF(AND($B$9&gt;0,ISBLANK('Bank data'!$F$18)),1,0)+IF(AND($B$9&gt;0,ISBLANK('Bank data'!$G$18)),1,0)+IF(AND($B$11&gt;0,$B$12&gt;0,ISBLANK('Bank data'!$H$18)),1,0)+IF(AND($B$11&gt;0,ISBLANK('Bank data'!$I$18)),1,0)</f>
        <v/>
      </c>
      <c r="H30" s="9">
        <f>IF(G30=0,B30,"")</f>
        <v/>
      </c>
      <c r="I30" s="11">
        <f>IF(G30=0,COUNTIFS($G$16:$G$31,0,$F$16:$F$31,"&lt;"&amp;F30)+1,COUNTIF($G$16:$G$31,0)+COUNTIFS($G$16:$G$31,"&gt;0",$F$16:$F$31,"&lt;"&amp;F30)+1)</f>
        <v/>
      </c>
      <c r="J30">
        <f>MID(IF(ISBLANK('Bank data'!$C$18),", plan fee","")&amp;IF(AND($B$7&gt;0,ISBLANK('Bank data'!$E$18)),", domestic wires","")&amp;IF(AND($B$9&gt;0,ISBLANK('Bank data'!$F$18)),", international payments","")&amp;IF(AND($B$9&gt;0,ISBLANK('Bank data'!$G$18)),", FX on payments","")&amp;IF(AND($B$11&gt;0,$B$12&gt;0,ISBLANK('Bank data'!$H$18)),", card FX","")&amp;IF(AND($B$11&gt;0,ISBLANK('Bank data'!$I$18)),", cashback rate",""),3,200)</f>
        <v/>
      </c>
    </row>
    <row r="31">
      <c r="A31">
        <f>'Bank data'!$A$19</f>
        <v/>
      </c>
      <c r="B31" s="9">
        <f>IF(ISBLANK('Bank data'!$C$19),0,12*('Bank data'!$C$19+N('Bank data'!$D$19)*$B$8))+IF(OR(AND($B$7&gt;0,ISBLANK('Bank data'!$E$19)),AND($B$9&gt;0,ISBLANK('Bank data'!$F$19))),0,12*($B$7*IF($B$7&gt;0,N('Bank data'!$E$19),0)+$B$9*IF($B$9&gt;0,N('Bank data'!$F$19),0)))+IF(AND($B$9&gt;0,ISBLANK('Bank data'!$G$19)),0,IF($B$9&gt;0,12*$B$9*$B$10*N('Bank data'!$G$19),0))+IF(AND($B$11&gt;0,$B$12&gt;0,ISBLANK('Bank data'!$H$19)),0,IF(AND($B$11&gt;0,$B$12&gt;0),12*$B$11*$B$12*N('Bank data'!$H$19),0))</f>
        <v/>
      </c>
      <c r="C31" s="9">
        <f>IF(ISBLANK('Bank data'!$I$19),"n/p",12*$B$11*(1-MIN(1,$B$12))*'Bank data'!$I$19)</f>
        <v/>
      </c>
      <c r="D31" s="10">
        <f>IF(AND(NOT(ISBLANK('Bank data'!$U$19)),IF('Bank data'!$K$19="product",IF('Bank data'!$J$19="all",$B$5,MAX(0,$B$5-$B$6)),$B$5)&gt;='Bank data'!$U$19),'Bank data'!$V$19,IF(AND(NOT(ISBLANK('Bank data'!$S$19)),IF('Bank data'!$K$19="product",IF('Bank data'!$J$19="all",$B$5,MAX(0,$B$5-$B$6)),$B$5)&gt;='Bank data'!$S$19),'Bank data'!$T$19,IF(AND(NOT(ISBLANK('Bank data'!$Q$19)),IF('Bank data'!$K$19="product",IF('Bank data'!$J$19="all",$B$5,MAX(0,$B$5-$B$6)),$B$5)&gt;='Bank data'!$Q$19),'Bank data'!$R$19,IF(AND(NOT(ISBLANK('Bank data'!$O$19)),IF('Bank data'!$K$19="product",IF('Bank data'!$J$19="all",$B$5,MAX(0,$B$5-$B$6)),$B$5)&gt;='Bank data'!$O$19),'Bank data'!$P$19,IF(AND(NOT(ISBLANK('Bank data'!$M$19)),IF('Bank data'!$K$19="product",IF('Bank data'!$J$19="all",$B$5,MAX(0,$B$5-$B$6)),$B$5)&gt;='Bank data'!$M$19),'Bank data'!$N$19,0)))))</f>
        <v/>
      </c>
      <c r="E31" s="9">
        <f>MIN(IF('Bank data'!$J$19="all",$B$5,MAX(0,$B$5-$B$6)),IF(ISBLANK('Bank data'!$L$19),IF('Bank data'!$J$19="all",$B$5,MAX(0,$B$5-$B$6)),'Bank data'!$L$19))*D31</f>
        <v/>
      </c>
      <c r="F31" s="9">
        <f>B31-N(C31)-E31</f>
        <v/>
      </c>
      <c r="G31" s="11">
        <f>IF(ISBLANK('Bank data'!$C$19),1,0)+IF(AND($B$7&gt;0,ISBLANK('Bank data'!$E$19)),1,0)+IF(AND($B$9&gt;0,ISBLANK('Bank data'!$F$19)),1,0)+IF(AND($B$9&gt;0,ISBLANK('Bank data'!$G$19)),1,0)+IF(AND($B$11&gt;0,$B$12&gt;0,ISBLANK('Bank data'!$H$19)),1,0)+IF(AND($B$11&gt;0,ISBLANK('Bank data'!$I$19)),1,0)</f>
        <v/>
      </c>
      <c r="H31" s="9">
        <f>IF(G31=0,B31,"")</f>
        <v/>
      </c>
      <c r="I31" s="11">
        <f>IF(G31=0,COUNTIFS($G$16:$G$31,0,$F$16:$F$31,"&lt;"&amp;F31)+1,COUNTIF($G$16:$G$31,0)+COUNTIFS($G$16:$G$31,"&gt;0",$F$16:$F$31,"&lt;"&amp;F31)+1)</f>
        <v/>
      </c>
      <c r="J31">
        <f>MID(IF(ISBLANK('Bank data'!$C$19),", plan fee","")&amp;IF(AND($B$7&gt;0,ISBLANK('Bank data'!$E$19)),", domestic wires","")&amp;IF(AND($B$9&gt;0,ISBLANK('Bank data'!$F$19)),", international payments","")&amp;IF(AND($B$9&gt;0,ISBLANK('Bank data'!$G$19)),", FX on payments","")&amp;IF(AND($B$11&gt;0,$B$12&gt;0,ISBLANK('Bank data'!$H$19)),", card FX","")&amp;IF(AND($B$11&gt;0,ISBLANK('Bank data'!$I$19)),", cashback rate",""),3,200)</f>
        <v/>
      </c>
    </row>
    <row r="32">
      <c r="A32" s="2" t="inlineStr">
        <is>
          <t>Fees and net cost leave out any fee the provider does not publish for your activity (see the last column). Net cost = fees - cashback - yield.</t>
        </is>
      </c>
    </row>
    <row r="34">
      <c r="A34" s="3" t="inlineStr">
        <is>
          <t>Results</t>
        </is>
      </c>
      <c r="B34" s="4" t="n"/>
      <c r="C34" s="4" t="n"/>
    </row>
    <row r="35">
      <c r="A35" s="12" t="inlineStr">
        <is>
          <t>Lowest fees among accounts that publish every fee</t>
        </is>
      </c>
      <c r="B35" s="13">
        <f>IF(COUNT($H$16:$H$31)=0,"-",MIN($H$16:$H$31))</f>
        <v/>
      </c>
    </row>
    <row r="36">
      <c r="A36" t="inlineStr">
        <is>
          <t>Account with the lowest fees</t>
        </is>
      </c>
      <c r="B36" s="14">
        <f>IF(ISNUMBER($B$35),INDEX($A$16:$A$31,MATCH($B$35,$H$16:$H$31,0)),"-")</f>
        <v/>
      </c>
    </row>
    <row r="37">
      <c r="A37" t="inlineStr">
        <is>
          <t>Fee spread among those accounts</t>
        </is>
      </c>
      <c r="B37" s="15">
        <f>IF(COUNT($H$16:$H$31)&gt;1,MAX($H$16:$H$31)-MIN($H$16:$H$31),0)</f>
        <v/>
      </c>
    </row>
    <row r="38">
      <c r="A38" t="inlineStr">
        <is>
          <t>Highest yield per year</t>
        </is>
      </c>
      <c r="B38" s="15">
        <f>MAX($E$16:$E$31)</f>
        <v/>
      </c>
    </row>
    <row r="39">
      <c r="A39" t="inlineStr">
        <is>
          <t>Account with the highest yield</t>
        </is>
      </c>
      <c r="B39" s="14">
        <f>INDEX($A$16:$A$31,MATCH($B$38,$E$16:$E$31,0))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19"/>
  <sheetViews>
    <sheetView workbookViewId="0">
      <selection activeCell="A1" sqref="A1"/>
    </sheetView>
  </sheetViews>
  <sheetFormatPr baseColWidth="8" defaultRowHeight="15"/>
  <cols>
    <col width="34" customWidth="1" min="1" max="1"/>
    <col width="24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8" customWidth="1" min="10" max="10"/>
    <col width="10" customWidth="1" min="11" max="11"/>
    <col width="12" customWidth="1" min="12" max="12"/>
    <col width="10" customWidth="1" min="13" max="13"/>
    <col width="8" customWidth="1" min="14" max="14"/>
    <col width="10" customWidth="1" min="15" max="15"/>
    <col width="8" customWidth="1" min="16" max="16"/>
    <col width="10" customWidth="1" min="17" max="17"/>
    <col width="8" customWidth="1" min="18" max="18"/>
    <col width="10" customWidth="1" min="19" max="19"/>
    <col width="8" customWidth="1" min="20" max="20"/>
    <col width="10" customWidth="1" min="21" max="21"/>
    <col width="8" customWidth="1" min="22" max="22"/>
    <col width="12" customWidth="1" min="23" max="23"/>
    <col width="12" customWidth="1" min="24" max="24"/>
    <col width="60" customWidth="1" min="25" max="25"/>
  </cols>
  <sheetData>
    <row r="1">
      <c r="A1" s="12" t="inlineStr">
        <is>
          <t>Fees and yields from each provider's published pages (verified October 13, 2026). Blank fee = not published.</t>
        </is>
      </c>
    </row>
    <row r="3" ht="30" customHeight="1">
      <c r="A3" s="8" t="inlineStr">
        <is>
          <t>Account</t>
        </is>
      </c>
      <c r="B3" s="8" t="inlineStr">
        <is>
          <t>Vendor</t>
        </is>
      </c>
      <c r="C3" s="8" t="inlineStr">
        <is>
          <t>Plan $/mo</t>
        </is>
      </c>
      <c r="D3" s="8" t="inlineStr">
        <is>
          <t>Per user $/mo</t>
        </is>
      </c>
      <c r="E3" s="8" t="inlineStr">
        <is>
          <t>Domestic wire out</t>
        </is>
      </c>
      <c r="F3" s="8" t="inlineStr">
        <is>
          <t>Intl payment out</t>
        </is>
      </c>
      <c r="G3" s="8" t="inlineStr">
        <is>
          <t>FX on payments</t>
        </is>
      </c>
      <c r="H3" s="8" t="inlineStr">
        <is>
          <t>Card FX fee</t>
        </is>
      </c>
      <c r="I3" s="8" t="inlineStr">
        <is>
          <t>Cashback</t>
        </is>
      </c>
      <c r="J3" s="8" t="inlineStr">
        <is>
          <t>Yield on</t>
        </is>
      </c>
      <c r="K3" s="8" t="inlineStr">
        <is>
          <t>Yield tier basis</t>
        </is>
      </c>
      <c r="L3" s="8" t="inlineStr">
        <is>
          <t>Yield cap</t>
        </is>
      </c>
      <c r="M3" s="8" t="inlineStr">
        <is>
          <t>Tier 1 from $</t>
        </is>
      </c>
      <c r="N3" s="8" t="inlineStr">
        <is>
          <t>Tier 1 yield</t>
        </is>
      </c>
      <c r="O3" s="8" t="inlineStr">
        <is>
          <t>Tier 2 from $</t>
        </is>
      </c>
      <c r="P3" s="8" t="inlineStr">
        <is>
          <t>Tier 2 yield</t>
        </is>
      </c>
      <c r="Q3" s="8" t="inlineStr">
        <is>
          <t>Tier 3 from $</t>
        </is>
      </c>
      <c r="R3" s="8" t="inlineStr">
        <is>
          <t>Tier 3 yield</t>
        </is>
      </c>
      <c r="S3" s="8" t="inlineStr">
        <is>
          <t>Tier 4 from $</t>
        </is>
      </c>
      <c r="T3" s="8" t="inlineStr">
        <is>
          <t>Tier 4 yield</t>
        </is>
      </c>
      <c r="U3" s="8" t="inlineStr">
        <is>
          <t>Tier 5 from $</t>
        </is>
      </c>
      <c r="V3" s="8" t="inlineStr">
        <is>
          <t>Tier 5 yield</t>
        </is>
      </c>
      <c r="W3" s="8" t="inlineStr">
        <is>
          <t>Yield as of</t>
        </is>
      </c>
      <c r="X3" s="8" t="inlineStr">
        <is>
          <t>Verified</t>
        </is>
      </c>
      <c r="Y3" s="8" t="inlineStr">
        <is>
          <t>Yield product / notes</t>
        </is>
      </c>
    </row>
    <row r="4">
      <c r="A4" t="inlineStr">
        <is>
          <t>Airwallex Explore</t>
        </is>
      </c>
      <c r="B4" t="inlineStr">
        <is>
          <t>Airwallex</t>
        </is>
      </c>
      <c r="C4" s="9" t="n">
        <v>0</v>
      </c>
      <c r="D4" s="9" t="n"/>
      <c r="E4" s="9" t="n">
        <v>0</v>
      </c>
      <c r="F4" s="9" t="n"/>
      <c r="G4" s="10" t="n">
        <v>0.005</v>
      </c>
      <c r="H4" s="10" t="n">
        <v>0</v>
      </c>
      <c r="I4" s="10" t="n">
        <v>0.01</v>
      </c>
      <c r="J4" t="inlineStr">
        <is>
          <t>idle</t>
        </is>
      </c>
      <c r="K4" t="inlineStr">
        <is>
          <t>product</t>
        </is>
      </c>
      <c r="L4" s="9" t="n"/>
      <c r="M4" s="9" t="n">
        <v>0</v>
      </c>
      <c r="N4" s="10" t="n">
        <v>0.0342</v>
      </c>
      <c r="O4" s="9" t="n"/>
      <c r="P4" s="10" t="n"/>
      <c r="Q4" s="9" t="n"/>
      <c r="R4" s="10" t="n"/>
      <c r="S4" s="9" t="n"/>
      <c r="T4" s="10" t="n"/>
      <c r="U4" s="9" t="n"/>
      <c r="V4" s="10" t="n"/>
      <c r="W4" t="inlineStr">
        <is>
          <t>2026-10-12</t>
        </is>
      </c>
      <c r="X4" t="inlineStr">
        <is>
          <t>2026-10-13</t>
        </is>
      </c>
      <c r="Y4" t="inlineStr">
        <is>
          <t>Airwallex Yield, money market funds, net of fees (Explore); 0.5% FX for major currencies, 1.0% for others; local transfers in 120+ countries, SWIFT $15-$25</t>
        </is>
      </c>
    </row>
    <row r="5">
      <c r="A5" t="inlineStr">
        <is>
          <t>Bluevine Standard</t>
        </is>
      </c>
      <c r="B5" t="inlineStr">
        <is>
          <t>Bluevine</t>
        </is>
      </c>
      <c r="C5" s="9" t="n">
        <v>0</v>
      </c>
      <c r="D5" s="9" t="n"/>
      <c r="E5" s="9" t="n">
        <v>15</v>
      </c>
      <c r="F5" s="9" t="n">
        <v>25</v>
      </c>
      <c r="G5" s="10" t="n">
        <v>0.015</v>
      </c>
      <c r="H5" s="10" t="n">
        <v>0</v>
      </c>
      <c r="I5" s="10" t="n">
        <v>0</v>
      </c>
      <c r="J5" t="inlineStr">
        <is>
          <t>all</t>
        </is>
      </c>
      <c r="K5" t="inlineStr">
        <is>
          <t>product</t>
        </is>
      </c>
      <c r="L5" s="9" t="n">
        <v>250000</v>
      </c>
      <c r="M5" s="9" t="n">
        <v>0</v>
      </c>
      <c r="N5" s="10" t="n">
        <v>0.013</v>
      </c>
      <c r="O5" s="9" t="n"/>
      <c r="P5" s="10" t="n"/>
      <c r="Q5" s="9" t="n"/>
      <c r="R5" s="10" t="n"/>
      <c r="S5" s="9" t="n"/>
      <c r="T5" s="10" t="n"/>
      <c r="U5" s="9" t="n"/>
      <c r="V5" s="10" t="n"/>
      <c r="X5" t="inlineStr">
        <is>
          <t>2026-10-13</t>
        </is>
      </c>
      <c r="Y5" t="inlineStr">
        <is>
          <t>Interest on checking, FDIC-insured deposit at Coastal Community Bank; APY only in months with $500 debit spend or $2,500 in client payments</t>
        </is>
      </c>
    </row>
    <row r="6">
      <c r="A6" t="inlineStr">
        <is>
          <t>Bluevine Plus</t>
        </is>
      </c>
      <c r="B6" t="inlineStr">
        <is>
          <t>Bluevine</t>
        </is>
      </c>
      <c r="C6" s="9" t="n">
        <v>30</v>
      </c>
      <c r="D6" s="9" t="n"/>
      <c r="E6" s="9" t="n">
        <v>12</v>
      </c>
      <c r="F6" s="9" t="n">
        <v>20</v>
      </c>
      <c r="G6" s="10" t="n">
        <v>0.0125</v>
      </c>
      <c r="H6" s="10" t="n">
        <v>0</v>
      </c>
      <c r="I6" s="10" t="n">
        <v>0</v>
      </c>
      <c r="J6" t="inlineStr">
        <is>
          <t>all</t>
        </is>
      </c>
      <c r="K6" t="inlineStr">
        <is>
          <t>product</t>
        </is>
      </c>
      <c r="L6" s="9" t="n">
        <v>250000</v>
      </c>
      <c r="M6" s="9" t="n">
        <v>0</v>
      </c>
      <c r="N6" s="10" t="n">
        <v>0.0175</v>
      </c>
      <c r="O6" s="9" t="n"/>
      <c r="P6" s="10" t="n"/>
      <c r="Q6" s="9" t="n"/>
      <c r="R6" s="10" t="n"/>
      <c r="S6" s="9" t="n"/>
      <c r="T6" s="10" t="n"/>
      <c r="U6" s="9" t="n"/>
      <c r="V6" s="10" t="n"/>
      <c r="X6" t="inlineStr">
        <is>
          <t>2026-10-13</t>
        </is>
      </c>
      <c r="Y6" t="inlineStr">
        <is>
          <t>Interest on checking, FDIC-insured deposit at Coastal Community Bank; $30 waived with $20,000 average daily balance and $2,000 debit spend a month</t>
        </is>
      </c>
    </row>
    <row r="7">
      <c r="A7" t="inlineStr">
        <is>
          <t>Bluevine Premier</t>
        </is>
      </c>
      <c r="B7" t="inlineStr">
        <is>
          <t>Bluevine</t>
        </is>
      </c>
      <c r="C7" s="9" t="n">
        <v>95</v>
      </c>
      <c r="D7" s="9" t="n"/>
      <c r="E7" s="9" t="n">
        <v>7.5</v>
      </c>
      <c r="F7" s="9" t="n">
        <v>12.5</v>
      </c>
      <c r="G7" s="10" t="n">
        <v>0.01</v>
      </c>
      <c r="H7" s="10" t="n">
        <v>0</v>
      </c>
      <c r="I7" s="10" t="n">
        <v>0</v>
      </c>
      <c r="J7" t="inlineStr">
        <is>
          <t>all</t>
        </is>
      </c>
      <c r="K7" t="inlineStr">
        <is>
          <t>product</t>
        </is>
      </c>
      <c r="L7" s="9" t="n"/>
      <c r="M7" s="9" t="n">
        <v>0</v>
      </c>
      <c r="N7" s="10" t="n">
        <v>0.03</v>
      </c>
      <c r="O7" s="9" t="n"/>
      <c r="P7" s="10" t="n"/>
      <c r="Q7" s="9" t="n"/>
      <c r="R7" s="10" t="n"/>
      <c r="S7" s="9" t="n"/>
      <c r="T7" s="10" t="n"/>
      <c r="U7" s="9" t="n"/>
      <c r="V7" s="10" t="n"/>
      <c r="X7" t="inlineStr">
        <is>
          <t>2026-10-13</t>
        </is>
      </c>
      <c r="Y7" t="inlineStr">
        <is>
          <t>Interest on checking, FDIC-insured deposit at Coastal Community Bank; $95 waived with $100,000 average daily balance and $5,000 debit spend a month</t>
        </is>
      </c>
    </row>
    <row r="8">
      <c r="A8" t="inlineStr">
        <is>
          <t>Brex Essentials</t>
        </is>
      </c>
      <c r="B8" t="inlineStr">
        <is>
          <t>Brex</t>
        </is>
      </c>
      <c r="C8" s="9" t="n">
        <v>0</v>
      </c>
      <c r="D8" s="9" t="n">
        <v>0</v>
      </c>
      <c r="E8" s="9" t="n">
        <v>0</v>
      </c>
      <c r="F8" s="9" t="n">
        <v>0</v>
      </c>
      <c r="G8" s="10" t="n"/>
      <c r="H8" s="10" t="n">
        <v>0.03</v>
      </c>
      <c r="I8" s="10" t="n"/>
      <c r="J8" t="inlineStr">
        <is>
          <t>idle</t>
        </is>
      </c>
      <c r="K8" t="inlineStr">
        <is>
          <t>total</t>
        </is>
      </c>
      <c r="L8" s="9" t="n"/>
      <c r="M8" s="9" t="n">
        <v>0</v>
      </c>
      <c r="N8" s="10" t="n">
        <v>0.0356</v>
      </c>
      <c r="O8" s="9" t="n">
        <v>500000</v>
      </c>
      <c r="P8" s="10" t="n">
        <v>0.0361</v>
      </c>
      <c r="Q8" s="9" t="n">
        <v>2000000</v>
      </c>
      <c r="R8" s="10" t="n">
        <v>0.0371</v>
      </c>
      <c r="S8" s="9" t="n">
        <v>5000000</v>
      </c>
      <c r="T8" s="10" t="n">
        <v>0.03759999999999999</v>
      </c>
      <c r="U8" s="9" t="n">
        <v>20000000</v>
      </c>
      <c r="V8" s="10" t="n">
        <v>0.0391</v>
      </c>
      <c r="X8" t="inlineStr">
        <is>
          <t>2026-10-13</t>
        </is>
      </c>
      <c r="Y8" t="inlineStr">
        <is>
          <t>Brex Treasury: DGVXX government money market fund plus a Brex additional return; Brex prints no as-of date</t>
        </is>
      </c>
    </row>
    <row r="9">
      <c r="A9" t="inlineStr">
        <is>
          <t>Brex Premium</t>
        </is>
      </c>
      <c r="B9" t="inlineStr">
        <is>
          <t>Brex</t>
        </is>
      </c>
      <c r="C9" s="9" t="n">
        <v>0</v>
      </c>
      <c r="D9" s="9" t="n">
        <v>12</v>
      </c>
      <c r="E9" s="9" t="n">
        <v>0</v>
      </c>
      <c r="F9" s="9" t="n">
        <v>0</v>
      </c>
      <c r="G9" s="10" t="n"/>
      <c r="H9" s="10" t="n">
        <v>0.03</v>
      </c>
      <c r="I9" s="10" t="n"/>
      <c r="J9" t="inlineStr">
        <is>
          <t>idle</t>
        </is>
      </c>
      <c r="K9" t="inlineStr">
        <is>
          <t>total</t>
        </is>
      </c>
      <c r="L9" s="9" t="n"/>
      <c r="M9" s="9" t="n">
        <v>0</v>
      </c>
      <c r="N9" s="10" t="n">
        <v>0.0356</v>
      </c>
      <c r="O9" s="9" t="n">
        <v>500000</v>
      </c>
      <c r="P9" s="10" t="n">
        <v>0.0361</v>
      </c>
      <c r="Q9" s="9" t="n">
        <v>2000000</v>
      </c>
      <c r="R9" s="10" t="n">
        <v>0.0371</v>
      </c>
      <c r="S9" s="9" t="n">
        <v>5000000</v>
      </c>
      <c r="T9" s="10" t="n">
        <v>0.03759999999999999</v>
      </c>
      <c r="U9" s="9" t="n">
        <v>20000000</v>
      </c>
      <c r="V9" s="10" t="n">
        <v>0.0391</v>
      </c>
      <c r="X9" t="inlineStr">
        <is>
          <t>2026-10-13</t>
        </is>
      </c>
      <c r="Y9" t="inlineStr">
        <is>
          <t>Brex Treasury: DGVXX government money market fund plus a Brex additional return; Brex prints no as-of date</t>
        </is>
      </c>
    </row>
    <row r="10">
      <c r="A10" t="inlineStr">
        <is>
          <t>Chase Business Complete</t>
        </is>
      </c>
      <c r="B10" t="inlineStr">
        <is>
          <t>Chase for Business</t>
        </is>
      </c>
      <c r="C10" s="9" t="n">
        <v>0</v>
      </c>
      <c r="D10" s="9" t="n"/>
      <c r="E10" s="9" t="n">
        <v>25</v>
      </c>
      <c r="F10" s="9" t="n">
        <v>40</v>
      </c>
      <c r="G10" s="10" t="n"/>
      <c r="H10" s="10" t="n">
        <v>0.03</v>
      </c>
      <c r="I10" s="10" t="n">
        <v>0</v>
      </c>
      <c r="J10" t="inlineStr">
        <is>
          <t>idle</t>
        </is>
      </c>
      <c r="K10" t="inlineStr">
        <is>
          <t>cash</t>
        </is>
      </c>
      <c r="L10" s="9" t="n"/>
      <c r="M10" s="9" t="n"/>
      <c r="N10" s="10" t="n"/>
      <c r="O10" s="9" t="n"/>
      <c r="P10" s="10" t="n"/>
      <c r="Q10" s="9" t="n"/>
      <c r="R10" s="10" t="n"/>
      <c r="S10" s="9" t="n"/>
      <c r="T10" s="10" t="n"/>
      <c r="U10" s="9" t="n"/>
      <c r="V10" s="10" t="n"/>
      <c r="X10" t="inlineStr">
        <is>
          <t>2026-10-13</t>
        </is>
      </c>
      <c r="Y10" t="inlineStr">
        <is>
          <t>No interest on Business Complete Checking; $15 a month, waived with a $2,000 minimum daily balance; FX spread on wires not disclosed</t>
        </is>
      </c>
    </row>
    <row r="11">
      <c r="A11" t="inlineStr">
        <is>
          <t>Mercury (free plan)</t>
        </is>
      </c>
      <c r="B11" t="inlineStr">
        <is>
          <t>Mercury</t>
        </is>
      </c>
      <c r="C11" s="9" t="n">
        <v>0</v>
      </c>
      <c r="D11" s="9" t="n"/>
      <c r="E11" s="9" t="n">
        <v>0</v>
      </c>
      <c r="F11" s="9" t="n">
        <v>0</v>
      </c>
      <c r="G11" s="10" t="n">
        <v>0.01</v>
      </c>
      <c r="H11" s="10" t="n">
        <v>0.03</v>
      </c>
      <c r="I11" s="10" t="n">
        <v>0.015</v>
      </c>
      <c r="J11" t="inlineStr">
        <is>
          <t>idle</t>
        </is>
      </c>
      <c r="K11" t="inlineStr">
        <is>
          <t>total</t>
        </is>
      </c>
      <c r="L11" s="9" t="n"/>
      <c r="M11" s="9" t="n">
        <v>250000</v>
      </c>
      <c r="N11" s="10" t="n">
        <v>0.0328</v>
      </c>
      <c r="O11" s="9" t="n">
        <v>2000000</v>
      </c>
      <c r="P11" s="10" t="n">
        <v>0.0343</v>
      </c>
      <c r="Q11" s="9" t="n">
        <v>5000000</v>
      </c>
      <c r="R11" s="10" t="n">
        <v>0.0353</v>
      </c>
      <c r="S11" s="9" t="n">
        <v>10000000</v>
      </c>
      <c r="T11" s="10" t="n">
        <v>0.0363</v>
      </c>
      <c r="U11" s="9" t="n">
        <v>20000000</v>
      </c>
      <c r="V11" s="10" t="n">
        <v>0.0373</v>
      </c>
      <c r="W11" t="inlineStr">
        <is>
          <t>2026-10-12</t>
        </is>
      </c>
      <c r="X11" t="inlineStr">
        <is>
          <t>2026-10-13</t>
        </is>
      </c>
      <c r="Y11" t="inlineStr">
        <is>
          <t>Mercury Treasury, government money market fund (MRGXX), net of the Mercury fee; needs $250K at Mercury</t>
        </is>
      </c>
    </row>
    <row r="12">
      <c r="A12" t="inlineStr">
        <is>
          <t>Novo</t>
        </is>
      </c>
      <c r="B12" t="inlineStr">
        <is>
          <t>Novo</t>
        </is>
      </c>
      <c r="C12" s="9" t="n">
        <v>0</v>
      </c>
      <c r="D12" s="9" t="n"/>
      <c r="E12" s="9" t="n"/>
      <c r="F12" s="9" t="n"/>
      <c r="G12" s="10" t="n"/>
      <c r="H12" s="10" t="n">
        <v>0</v>
      </c>
      <c r="I12" s="10" t="n">
        <v>0</v>
      </c>
      <c r="J12" t="inlineStr">
        <is>
          <t>idle</t>
        </is>
      </c>
      <c r="K12" t="inlineStr">
        <is>
          <t>cash</t>
        </is>
      </c>
      <c r="L12" s="9" t="n"/>
      <c r="M12" s="9" t="n"/>
      <c r="N12" s="10" t="n"/>
      <c r="O12" s="9" t="n"/>
      <c r="P12" s="10" t="n"/>
      <c r="Q12" s="9" t="n"/>
      <c r="R12" s="10" t="n"/>
      <c r="S12" s="9" t="n"/>
      <c r="T12" s="10" t="n"/>
      <c r="U12" s="9" t="n"/>
      <c r="V12" s="10" t="n"/>
      <c r="X12" t="inlineStr">
        <is>
          <t>2026-10-13</t>
        </is>
      </c>
      <c r="Y12" t="inlineStr">
        <is>
          <t>No interest on checking; Outgoing domestic wire up to $45 (fee schedule) or $30 (help center); international payments only through Wise</t>
        </is>
      </c>
    </row>
    <row r="13">
      <c r="A13" t="inlineStr">
        <is>
          <t>Ramp Free + Ramp Checking</t>
        </is>
      </c>
      <c r="B13" t="inlineStr">
        <is>
          <t>Ramp</t>
        </is>
      </c>
      <c r="C13" s="9" t="n">
        <v>0</v>
      </c>
      <c r="D13" s="9" t="n"/>
      <c r="E13" s="9" t="n">
        <v>0</v>
      </c>
      <c r="F13" s="9" t="n">
        <v>0</v>
      </c>
      <c r="G13" s="10" t="n"/>
      <c r="H13" s="10" t="n">
        <v>0.03</v>
      </c>
      <c r="I13" s="10" t="n"/>
      <c r="J13" t="inlineStr">
        <is>
          <t>all</t>
        </is>
      </c>
      <c r="K13" t="inlineStr">
        <is>
          <t>product</t>
        </is>
      </c>
      <c r="L13" s="9" t="n"/>
      <c r="M13" s="9" t="n">
        <v>0</v>
      </c>
      <c r="N13" s="10" t="n">
        <v>0.02</v>
      </c>
      <c r="O13" s="9" t="n"/>
      <c r="P13" s="10" t="n"/>
      <c r="Q13" s="9" t="n"/>
      <c r="R13" s="10" t="n"/>
      <c r="S13" s="9" t="n"/>
      <c r="T13" s="10" t="n"/>
      <c r="U13" s="9" t="n"/>
      <c r="V13" s="10" t="n"/>
      <c r="W13" t="inlineStr">
        <is>
          <t>2026-10-13</t>
        </is>
      </c>
      <c r="X13" t="inlineStr">
        <is>
          <t>2026-10-13</t>
        </is>
      </c>
      <c r="Y13" t="inlineStr">
        <is>
          <t>Ramp Checking, FDIC-insured via IntraFi at First Internet Bank, 2% APY; Bill Pay from an outside bank costs $0.59 per ACH, $15 per domestic wire, $20 per SWIFT payment; the Investment Account (up to 4.62% YTM) is a bond portfolio, not comparable</t>
        </is>
      </c>
    </row>
    <row r="14">
      <c r="A14" t="inlineStr">
        <is>
          <t>Ramp Plus + Ramp Checking</t>
        </is>
      </c>
      <c r="B14" t="inlineStr">
        <is>
          <t>Ramp</t>
        </is>
      </c>
      <c r="C14" s="9" t="n"/>
      <c r="D14" s="9" t="n">
        <v>15</v>
      </c>
      <c r="E14" s="9" t="n">
        <v>0</v>
      </c>
      <c r="F14" s="9" t="n">
        <v>0</v>
      </c>
      <c r="G14" s="10" t="n"/>
      <c r="H14" s="10" t="n">
        <v>0.03</v>
      </c>
      <c r="I14" s="10" t="n"/>
      <c r="J14" t="inlineStr">
        <is>
          <t>all</t>
        </is>
      </c>
      <c r="K14" t="inlineStr">
        <is>
          <t>product</t>
        </is>
      </c>
      <c r="L14" s="9" t="n"/>
      <c r="M14" s="9" t="n">
        <v>0</v>
      </c>
      <c r="N14" s="10" t="n">
        <v>0.02</v>
      </c>
      <c r="O14" s="9" t="n"/>
      <c r="P14" s="10" t="n"/>
      <c r="Q14" s="9" t="n"/>
      <c r="R14" s="10" t="n"/>
      <c r="S14" s="9" t="n"/>
      <c r="T14" s="10" t="n"/>
      <c r="U14" s="9" t="n"/>
      <c r="V14" s="10" t="n"/>
      <c r="W14" t="inlineStr">
        <is>
          <t>2026-10-13</t>
        </is>
      </c>
      <c r="X14" t="inlineStr">
        <is>
          <t>2026-10-13</t>
        </is>
      </c>
      <c r="Y14" t="inlineStr">
        <is>
          <t>Ramp Checking 2% APY; $15 per user plus a platform fee by team size that Ramp does not publish</t>
        </is>
      </c>
    </row>
    <row r="15">
      <c r="A15" t="inlineStr">
        <is>
          <t>Relay Starter</t>
        </is>
      </c>
      <c r="B15" t="inlineStr">
        <is>
          <t>Relay</t>
        </is>
      </c>
      <c r="C15" s="9" t="n">
        <v>0</v>
      </c>
      <c r="D15" s="9" t="n"/>
      <c r="E15" s="9" t="n">
        <v>8</v>
      </c>
      <c r="F15" s="9" t="n">
        <v>25</v>
      </c>
      <c r="G15" s="10" t="n">
        <v>0.01</v>
      </c>
      <c r="H15" s="10" t="n">
        <v>0.01</v>
      </c>
      <c r="I15" s="10" t="n">
        <v>0.01</v>
      </c>
      <c r="J15" t="inlineStr">
        <is>
          <t>idle</t>
        </is>
      </c>
      <c r="K15" t="inlineStr">
        <is>
          <t>product</t>
        </is>
      </c>
      <c r="L15" s="9" t="n"/>
      <c r="M15" s="9" t="n">
        <v>0</v>
      </c>
      <c r="N15" s="10" t="n">
        <v>0.0119</v>
      </c>
      <c r="O15" s="9" t="n"/>
      <c r="P15" s="10" t="n"/>
      <c r="Q15" s="9" t="n"/>
      <c r="R15" s="10" t="n"/>
      <c r="S15" s="9" t="n"/>
      <c r="T15" s="10" t="n"/>
      <c r="U15" s="9" t="n"/>
      <c r="V15" s="10" t="n"/>
      <c r="W15" t="inlineStr">
        <is>
          <t>2026-09-17</t>
        </is>
      </c>
      <c r="X15" t="inlineStr">
        <is>
          <t>2026-10-13</t>
        </is>
      </c>
      <c r="Y15" t="inlineStr">
        <is>
          <t>Relay savings, FDIC-insured deposit at Thread Bank</t>
        </is>
      </c>
    </row>
    <row r="16">
      <c r="A16" t="inlineStr">
        <is>
          <t>Relay Grow</t>
        </is>
      </c>
      <c r="B16" t="inlineStr">
        <is>
          <t>Relay</t>
        </is>
      </c>
      <c r="C16" s="9" t="n">
        <v>30</v>
      </c>
      <c r="D16" s="9" t="n"/>
      <c r="E16" s="9" t="n">
        <v>5</v>
      </c>
      <c r="F16" s="9" t="n">
        <v>22</v>
      </c>
      <c r="G16" s="10" t="n">
        <v>0.01</v>
      </c>
      <c r="H16" s="10" t="n">
        <v>0.01</v>
      </c>
      <c r="I16" s="10" t="n">
        <v>0.0125</v>
      </c>
      <c r="J16" t="inlineStr">
        <is>
          <t>idle</t>
        </is>
      </c>
      <c r="K16" t="inlineStr">
        <is>
          <t>product</t>
        </is>
      </c>
      <c r="L16" s="9" t="n"/>
      <c r="M16" s="9" t="n">
        <v>0</v>
      </c>
      <c r="N16" s="10" t="n">
        <v>0.0187</v>
      </c>
      <c r="O16" s="9" t="n"/>
      <c r="P16" s="10" t="n"/>
      <c r="Q16" s="9" t="n"/>
      <c r="R16" s="10" t="n"/>
      <c r="S16" s="9" t="n"/>
      <c r="T16" s="10" t="n"/>
      <c r="U16" s="9" t="n"/>
      <c r="V16" s="10" t="n"/>
      <c r="W16" t="inlineStr">
        <is>
          <t>2026-09-17</t>
        </is>
      </c>
      <c r="X16" t="inlineStr">
        <is>
          <t>2026-10-13</t>
        </is>
      </c>
      <c r="Y16" t="inlineStr">
        <is>
          <t>Relay savings, FDIC-insured deposit at Thread Bank</t>
        </is>
      </c>
    </row>
    <row r="17">
      <c r="A17" t="inlineStr">
        <is>
          <t>Relay Scale</t>
        </is>
      </c>
      <c r="B17" t="inlineStr">
        <is>
          <t>Relay</t>
        </is>
      </c>
      <c r="C17" s="9" t="n">
        <v>90</v>
      </c>
      <c r="D17" s="9" t="n"/>
      <c r="E17" s="9" t="n">
        <v>5</v>
      </c>
      <c r="F17" s="9" t="n">
        <v>20</v>
      </c>
      <c r="G17" s="10" t="n">
        <v>0.01</v>
      </c>
      <c r="H17" s="10" t="n">
        <v>0.01</v>
      </c>
      <c r="I17" s="10" t="n">
        <v>0.015</v>
      </c>
      <c r="J17" t="inlineStr">
        <is>
          <t>idle</t>
        </is>
      </c>
      <c r="K17" t="inlineStr">
        <is>
          <t>product</t>
        </is>
      </c>
      <c r="L17" s="9" t="n"/>
      <c r="M17" s="9" t="n">
        <v>0</v>
      </c>
      <c r="N17" s="10" t="n">
        <v>0.0321</v>
      </c>
      <c r="O17" s="9" t="n"/>
      <c r="P17" s="10" t="n"/>
      <c r="Q17" s="9" t="n"/>
      <c r="R17" s="10" t="n"/>
      <c r="S17" s="9" t="n"/>
      <c r="T17" s="10" t="n"/>
      <c r="U17" s="9" t="n"/>
      <c r="V17" s="10" t="n"/>
      <c r="W17" t="inlineStr">
        <is>
          <t>2026-09-17</t>
        </is>
      </c>
      <c r="X17" t="inlineStr">
        <is>
          <t>2026-10-13</t>
        </is>
      </c>
      <c r="Y17" t="inlineStr">
        <is>
          <t>Relay savings, FDIC-insured deposit at Thread Bank; Pricing page shows $90 as a limited-time discount from $120; the fee schedule effective 2026-09-01 says $120</t>
        </is>
      </c>
    </row>
    <row r="18">
      <c r="A18" t="inlineStr">
        <is>
          <t>Rho</t>
        </is>
      </c>
      <c r="B18" t="inlineStr">
        <is>
          <t>Rho</t>
        </is>
      </c>
      <c r="C18" s="9" t="n">
        <v>0</v>
      </c>
      <c r="D18" s="9" t="n"/>
      <c r="E18" s="9" t="n">
        <v>0</v>
      </c>
      <c r="F18" s="9" t="n">
        <v>0</v>
      </c>
      <c r="G18" s="10" t="n">
        <v>0.01</v>
      </c>
      <c r="H18" s="10" t="n"/>
      <c r="I18" s="10" t="n">
        <v>0.0125</v>
      </c>
      <c r="J18" t="inlineStr">
        <is>
          <t>idle</t>
        </is>
      </c>
      <c r="K18" t="inlineStr">
        <is>
          <t>total</t>
        </is>
      </c>
      <c r="L18" s="9" t="n"/>
      <c r="M18" s="9" t="n">
        <v>50000</v>
      </c>
      <c r="N18" s="10" t="n">
        <v>0.032</v>
      </c>
      <c r="O18" s="9" t="n">
        <v>2000000</v>
      </c>
      <c r="P18" s="10" t="n">
        <v>0.0335</v>
      </c>
      <c r="Q18" s="9" t="n">
        <v>5000000</v>
      </c>
      <c r="R18" s="10" t="n">
        <v>0.0345</v>
      </c>
      <c r="S18" s="9" t="n">
        <v>10000000</v>
      </c>
      <c r="T18" s="10" t="n">
        <v>0.0355</v>
      </c>
      <c r="U18" s="9" t="n">
        <v>20000000</v>
      </c>
      <c r="V18" s="10" t="n">
        <v>0.0365</v>
      </c>
      <c r="W18" t="inlineStr">
        <is>
          <t>2026-10-09</t>
        </is>
      </c>
      <c r="X18" t="inlineStr">
        <is>
          <t>2026-10-13</t>
        </is>
      </c>
      <c r="Y18" t="inlineStr">
        <is>
          <t>Rho Treasury, government money market fund (IJTXX), net of the Rho fee; $50K minimum; Optional $15 SWIFT fee; $30 recall fee on international wires</t>
        </is>
      </c>
    </row>
    <row r="19">
      <c r="A19" t="inlineStr">
        <is>
          <t>First Citizens (SVB) Essentials</t>
        </is>
      </c>
      <c r="B19" t="inlineStr">
        <is>
          <t>SVB (First Citizens Innovation Banking)</t>
        </is>
      </c>
      <c r="C19" s="9" t="n">
        <v>0</v>
      </c>
      <c r="D19" s="9" t="n"/>
      <c r="E19" s="9" t="n"/>
      <c r="F19" s="9" t="n"/>
      <c r="G19" s="10" t="n"/>
      <c r="H19" s="10" t="n"/>
      <c r="I19" s="10" t="n"/>
      <c r="J19" t="inlineStr">
        <is>
          <t>idle</t>
        </is>
      </c>
      <c r="K19" t="inlineStr">
        <is>
          <t>product</t>
        </is>
      </c>
      <c r="L19" s="9" t="n"/>
      <c r="M19" s="9" t="n">
        <v>0</v>
      </c>
      <c r="N19" s="10" t="n">
        <v>0.001</v>
      </c>
      <c r="O19" s="9" t="n">
        <v>50000.01</v>
      </c>
      <c r="P19" s="10" t="n">
        <v>0.0263</v>
      </c>
      <c r="Q19" s="9" t="n">
        <v>1000000.01</v>
      </c>
      <c r="R19" s="10" t="n">
        <v>0.0356</v>
      </c>
      <c r="S19" s="9" t="n"/>
      <c r="T19" s="10" t="n"/>
      <c r="U19" s="9" t="n"/>
      <c r="V19" s="10" t="n"/>
      <c r="W19" t="inlineStr">
        <is>
          <t>2026-09-30</t>
        </is>
      </c>
      <c r="X19" t="inlineStr">
        <is>
          <t>2026-10-13</t>
        </is>
      </c>
      <c r="Y19" t="inlineStr">
        <is>
          <t>Startup Money Market Account, FDIC-insured deposit; the tier rate applies to the whole balance; Free for up to three years, then $50 a month plus wire fees; wire fees not published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6" t="inlineStr">
        <is>
          <t>Free template by Adlega</t>
        </is>
      </c>
    </row>
    <row r="2">
      <c r="A2" s="17" t="inlineStr">
        <is>
          <t>Live calculator: https://adlega.com/blog/tools/banking-cost/</t>
        </is>
      </c>
    </row>
    <row r="3">
      <c r="A3" s="17" t="inlineStr">
        <is>
          <t>Version: October 2026</t>
        </is>
      </c>
    </row>
    <row r="4">
      <c r="A4" s="17" t="inlineStr"/>
    </row>
    <row r="5">
      <c r="A5" s="17" t="inlineStr">
        <is>
          <t>This template is a planning aid, not tax, legal or investment advice. Check the numbers with your own advisers before you act on them.</t>
        </is>
      </c>
    </row>
    <row r="6">
      <c r="A6" s="17" t="inlineStr">
        <is>
          <t>Blue cells on a light yellow background are inputs. Every other number is a live Excel formula that mirrors the web calculator.</t>
        </is>
      </c>
    </row>
    <row r="7">
      <c r="A7" s="17" t="inlineStr"/>
    </row>
    <row r="8">
      <c r="A8" s="17" t="inlineStr">
        <is>
          <t>Yield = idle cash (cash minus operating cash, or all cash where the product pays on every dollar) x the highest tier your balance qualifies for. Yields change month to month; check the date in the Bank data sheet.</t>
        </is>
      </c>
    </row>
    <row r="9">
      <c r="A9" s="17" t="inlineStr">
        <is>
          <t>Deposits (insured) and money market funds (not deposits) are different products. Read each provider's terms.</t>
        </is>
      </c>
    </row>
    <row r="10">
      <c r="A10" s="17" t="inlineStr">
        <is>
          <t>Activity defaults are Adlega's assumption for a typical seed-stage B2B SaaS startup.</t>
        </is>
      </c>
    </row>
    <row r="11">
      <c r="A11" s="17" t="inlineStr"/>
    </row>
    <row r="12">
      <c r="A12" s="17" t="inlineStr">
        <is>
          <t>Adlega is a financial forecasting and planning app for SaaS founders: https://adlega.com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Adlega</dc:creator>
  <dc:title xmlns:dc="http://purl.org/dc/elements/1.1/">Startup Banking Cost and Yield Calculator</dc:title>
  <dcterms:created xmlns:dcterms="http://purl.org/dc/terms/" xmlns:xsi="http://www.w3.org/2001/XMLSchema-instance" xsi:type="dcterms:W3CDTF">2026-10-22T12:00:00Z</dcterms:created>
  <dcterms:modified xmlns:dcterms="http://purl.org/dc/terms/" xmlns:xsi="http://www.w3.org/2001/XMLSchema-instance" xsi:type="dcterms:W3CDTF">2026-10-22T12:00:00Z</dcterms:modified>
  <cp:lastModifiedBy>Adlega</cp:lastModifiedBy>
</cp:coreProperties>
</file>